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servtech00\CDG\Dossiers_Transverses\Webinaires\2025\2025 09 23 Rému et comptabilité\"/>
    </mc:Choice>
  </mc:AlternateContent>
  <xr:revisionPtr revIDLastSave="0" documentId="13_ncr:1_{340D2D59-2BFB-4D22-B730-5000B10A0137}" xr6:coauthVersionLast="47" xr6:coauthVersionMax="47" xr10:uidLastSave="{00000000-0000-0000-0000-000000000000}"/>
  <bookViews>
    <workbookView xWindow="-120" yWindow="-120" windowWidth="25440" windowHeight="15270" firstSheet="1" activeTab="5" xr2:uid="{56E4AFCE-9731-4D62-B76D-D9716B4CC814}"/>
  </bookViews>
  <sheets>
    <sheet name="TITULAIRE CNRACL" sheetId="1" r:id="rId1"/>
    <sheet name="TITULAIRE IRCANTEC" sheetId="2" r:id="rId2"/>
    <sheet name="CONTRACTUEL" sheetId="3" r:id="rId3"/>
    <sheet name="APPRENTI" sheetId="4" r:id="rId4"/>
    <sheet name="ELU NON ASSUJETTI" sheetId="6" r:id="rId5"/>
    <sheet name="ELU ASSUJETTI" sheetId="7" r:id="rId6"/>
  </sheets>
  <definedNames>
    <definedName name="_xlnm._FilterDatabase" localSheetId="3" hidden="1">APPRENTI!$A$3:$J$8</definedName>
    <definedName name="_xlnm._FilterDatabase" localSheetId="2" hidden="1">CONTRACTUEL!$A$3:$J$8</definedName>
    <definedName name="_xlnm._FilterDatabase" localSheetId="0" hidden="1">'TITULAIRE CNRACL'!$A$3:$J$9</definedName>
    <definedName name="_xlnm._FilterDatabase" localSheetId="1" hidden="1">'TITULAIRE IRCANTEC'!$A$3:$J$8</definedName>
    <definedName name="_xlnm.Print_Area" localSheetId="3">APPRENTI!$A$1:$P$8</definedName>
    <definedName name="_xlnm.Print_Area" localSheetId="2">CONTRACTUEL!$A$1:$Z$8</definedName>
    <definedName name="_xlnm.Print_Area" localSheetId="0">'TITULAIRE CNRACL'!$A$1:$AB$9</definedName>
    <definedName name="_xlnm.Print_Area" localSheetId="1">'TITULAIRE IRCANTEC'!$A$1:$X$8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9" i="1" l="1"/>
  <c r="O8" i="1"/>
  <c r="F8" i="7"/>
  <c r="F7" i="7"/>
  <c r="C8" i="7"/>
  <c r="E8" i="7" s="1"/>
  <c r="E7" i="7" s="1"/>
  <c r="E7" i="6"/>
  <c r="C8" i="6"/>
  <c r="C7" i="6" s="1"/>
  <c r="G7" i="6" s="1"/>
  <c r="D8" i="6"/>
  <c r="D7" i="6" s="1"/>
  <c r="E8" i="6"/>
  <c r="F8" i="6"/>
  <c r="F7" i="6" s="1"/>
  <c r="L8" i="4"/>
  <c r="V8" i="3"/>
  <c r="V7" i="3"/>
  <c r="D8" i="7" l="1"/>
  <c r="C7" i="7"/>
  <c r="M8" i="4"/>
  <c r="N8" i="3"/>
  <c r="N7" i="3" s="1"/>
  <c r="M7" i="3"/>
  <c r="M8" i="3"/>
  <c r="W8" i="3" s="1"/>
  <c r="L8" i="3"/>
  <c r="R8" i="3" s="1"/>
  <c r="M8" i="2"/>
  <c r="L8" i="2"/>
  <c r="R8" i="2" s="1"/>
  <c r="G8" i="7" l="1"/>
  <c r="G7" i="7" s="1"/>
  <c r="D7" i="7"/>
  <c r="H7" i="7" s="1"/>
  <c r="N8" i="4"/>
  <c r="O8" i="3"/>
  <c r="P8" i="3"/>
  <c r="Q8" i="3"/>
  <c r="S8" i="3"/>
  <c r="L7" i="4"/>
  <c r="M7" i="4"/>
  <c r="S7" i="3"/>
  <c r="U8" i="3"/>
  <c r="U7" i="3" s="1"/>
  <c r="W7" i="3"/>
  <c r="O7" i="3"/>
  <c r="R7" i="3"/>
  <c r="X8" i="3"/>
  <c r="P7" i="3"/>
  <c r="Q7" i="3"/>
  <c r="L7" i="3"/>
  <c r="U8" i="2"/>
  <c r="V8" i="2"/>
  <c r="P8" i="2"/>
  <c r="O8" i="2"/>
  <c r="T8" i="2"/>
  <c r="N8" i="2"/>
  <c r="Q8" i="2"/>
  <c r="N7" i="4" l="1"/>
  <c r="P7" i="4"/>
  <c r="O8" i="4"/>
  <c r="O7" i="4" s="1"/>
  <c r="X7" i="3"/>
  <c r="T8" i="3"/>
  <c r="T7" i="3" s="1"/>
  <c r="Z7" i="3" s="1"/>
  <c r="Y8" i="3" l="1"/>
  <c r="Y7" i="3" s="1"/>
  <c r="M7" i="2" l="1"/>
  <c r="N9" i="1"/>
  <c r="N8" i="1"/>
  <c r="N7" i="1" s="1"/>
  <c r="M9" i="1"/>
  <c r="L9" i="1"/>
  <c r="M8" i="1"/>
  <c r="L8" i="1"/>
  <c r="V8" i="1" s="1"/>
  <c r="Z7" i="1"/>
  <c r="N7" i="2" l="1"/>
  <c r="O7" i="2"/>
  <c r="L7" i="2"/>
  <c r="Q7" i="2"/>
  <c r="R7" i="2"/>
  <c r="T7" i="2"/>
  <c r="S8" i="2"/>
  <c r="S7" i="2" s="1"/>
  <c r="M7" i="1"/>
  <c r="O7" i="1"/>
  <c r="T9" i="1"/>
  <c r="W8" i="1"/>
  <c r="P9" i="1"/>
  <c r="U9" i="1"/>
  <c r="V9" i="1"/>
  <c r="W9" i="1"/>
  <c r="W7" i="1" s="1"/>
  <c r="X8" i="1"/>
  <c r="Y8" i="1"/>
  <c r="X9" i="1"/>
  <c r="Y9" i="1"/>
  <c r="P8" i="1"/>
  <c r="Q8" i="1"/>
  <c r="R8" i="1"/>
  <c r="S8" i="1"/>
  <c r="Q9" i="1"/>
  <c r="T8" i="1"/>
  <c r="R9" i="1"/>
  <c r="U8" i="1"/>
  <c r="S9" i="1"/>
  <c r="L7" i="1"/>
  <c r="V7" i="2" l="1"/>
  <c r="P7" i="2"/>
  <c r="W8" i="2"/>
  <c r="U7" i="2"/>
  <c r="X7" i="2"/>
  <c r="AA9" i="1"/>
  <c r="S7" i="1"/>
  <c r="U7" i="1"/>
  <c r="V7" i="1"/>
  <c r="P7" i="1"/>
  <c r="Y7" i="1"/>
  <c r="R7" i="1"/>
  <c r="AA8" i="1"/>
  <c r="Q7" i="1"/>
  <c r="T7" i="1"/>
  <c r="X7" i="1"/>
  <c r="W7" i="2" l="1"/>
  <c r="AA7" i="1"/>
  <c r="AB7" i="1"/>
</calcChain>
</file>

<file path=xl/sharedStrings.xml><?xml version="1.0" encoding="utf-8"?>
<sst xmlns="http://schemas.openxmlformats.org/spreadsheetml/2006/main" count="200" uniqueCount="79">
  <si>
    <t>Valeur du point</t>
  </si>
  <si>
    <t>Agent:</t>
  </si>
  <si>
    <t>Grade</t>
  </si>
  <si>
    <t>Statut</t>
  </si>
  <si>
    <t>Durée H.</t>
  </si>
  <si>
    <t>Echelon</t>
  </si>
  <si>
    <t>IM</t>
  </si>
  <si>
    <t>NBI</t>
  </si>
  <si>
    <t>SFT</t>
  </si>
  <si>
    <t>IFSE</t>
  </si>
  <si>
    <t>CSG</t>
  </si>
  <si>
    <t>% affectation</t>
  </si>
  <si>
    <t>TOTAL</t>
  </si>
  <si>
    <t>BP 2025</t>
  </si>
  <si>
    <t>Rémunération</t>
  </si>
  <si>
    <t>Indemnités</t>
  </si>
  <si>
    <t>Mobilité</t>
  </si>
  <si>
    <t>FNAL</t>
  </si>
  <si>
    <t xml:space="preserve">CDG/CNFPT </t>
  </si>
  <si>
    <t>Autres</t>
  </si>
  <si>
    <t>URSSAF Titu</t>
  </si>
  <si>
    <t>CNRACL</t>
  </si>
  <si>
    <t>RAFP</t>
  </si>
  <si>
    <t>ATIACL</t>
  </si>
  <si>
    <t>MEDECINE</t>
  </si>
  <si>
    <t>TERRITORIA</t>
  </si>
  <si>
    <t>TITRES TRANSPORT</t>
  </si>
  <si>
    <t>Titulaires</t>
  </si>
  <si>
    <t>IFSE CSG TPP</t>
  </si>
  <si>
    <t>Titulaire</t>
  </si>
  <si>
    <t>8ème échelon le 0109</t>
  </si>
  <si>
    <t xml:space="preserve">Etablissement: </t>
  </si>
  <si>
    <t>SERVICE CONCERNE</t>
  </si>
  <si>
    <t xml:space="preserve">NOM AGENT </t>
  </si>
  <si>
    <t>Attaché territorial</t>
  </si>
  <si>
    <t>Adjoint administratif principal 1ère classe</t>
  </si>
  <si>
    <t xml:space="preserve">Base </t>
  </si>
  <si>
    <t>20 % TBI</t>
  </si>
  <si>
    <t>TBI + NBI</t>
  </si>
  <si>
    <t>TBI</t>
  </si>
  <si>
    <t>TBI + NBI + RI</t>
  </si>
  <si>
    <t>TBI + RI</t>
  </si>
  <si>
    <t>CDG</t>
  </si>
  <si>
    <t>Cot Obli</t>
  </si>
  <si>
    <t>Cot facu</t>
  </si>
  <si>
    <t>CNFPT 1%</t>
  </si>
  <si>
    <t xml:space="preserve">FSP </t>
  </si>
  <si>
    <t>Forfait</t>
  </si>
  <si>
    <t xml:space="preserve">social  </t>
  </si>
  <si>
    <t>prévoyance</t>
  </si>
  <si>
    <t>IRCANTEC</t>
  </si>
  <si>
    <t>Cot Méd</t>
  </si>
  <si>
    <t>URSSAF</t>
  </si>
  <si>
    <t>Solid. Auto</t>
  </si>
  <si>
    <t>Contractuel</t>
  </si>
  <si>
    <t xml:space="preserve">SFT </t>
  </si>
  <si>
    <t>Non-titulaires</t>
  </si>
  <si>
    <t>URSSAF Non-titu</t>
  </si>
  <si>
    <t>TBI + RI + SFT</t>
  </si>
  <si>
    <t xml:space="preserve">TBI + RI </t>
  </si>
  <si>
    <t>Apprenti</t>
  </si>
  <si>
    <t>Apprentis</t>
  </si>
  <si>
    <t>URSSAF Apprentis</t>
  </si>
  <si>
    <t>CHÔMAGE</t>
  </si>
  <si>
    <t>Elu</t>
  </si>
  <si>
    <t>NOM</t>
  </si>
  <si>
    <t>Elu non assujetti</t>
  </si>
  <si>
    <t>Montant indemnité</t>
  </si>
  <si>
    <t>Cotisations de retraite Tr A</t>
  </si>
  <si>
    <t>Cotisations de retraite Tr B</t>
  </si>
  <si>
    <t>IRCANTEC Tranche A : 100 % du montant brut de l'indemnité de fonction dans la limite du plafond de sécurité sociale (addition des indemnités de fonction perçues quand plusieurs mandats).</t>
  </si>
  <si>
    <t>IRCANTEC Tranche B : traitement brut de l'indemnité sur la part au-dessus du plafond de la sécurité sociale.</t>
  </si>
  <si>
    <t>Elu assujetti</t>
  </si>
  <si>
    <t>Indemnités de fonction</t>
  </si>
  <si>
    <t>FNAL Mobilité Solidarité autonomie</t>
  </si>
  <si>
    <t>Elu ayant interrompu leur activité professionnelle pour exercer leur mandat d'élu local.</t>
  </si>
  <si>
    <t>Elu n'ayant pas interrompu son activité professionnelle pour exercer son mandat d'élu local, élu au chômage, élu retraité et dont les indemnités de fonction sont inférieures ou égales au plafond de la sécurité sociale.</t>
  </si>
  <si>
    <r>
      <t xml:space="preserve">Elu n'ayant pas interrompu leur activité professionnelle, élus au chômage, retraités </t>
    </r>
    <r>
      <rPr>
        <b/>
        <sz val="9"/>
        <rFont val="Tahoma"/>
        <family val="2"/>
      </rPr>
      <t>et</t>
    </r>
    <r>
      <rPr>
        <sz val="9"/>
        <rFont val="Tahoma"/>
        <family val="2"/>
      </rPr>
      <t xml:space="preserve"> dont les indemnités de fonction sont supérieures au plafond de la sécurité sociale.</t>
    </r>
  </si>
  <si>
    <t>Elu dont les indemnités de fonction sont inférieures au plafond de la sécurité sociale sur demande auprès de leur collectivité.</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</si>
</sst>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_€_-;\-* #,##0.00\ _€_-;_-* &quot;-&quot;??\ _€_-;_-@_-"/>
    <numFmt numFmtId="165" formatCode="_-* #,##0\ _€_-;\-* #,##0\ _€_-;_-* &quot;-&quot;\ _€_-;_-@_-"/>
    <numFmt numFmtId="166" formatCode="_-* #,##0.00000\ &quot;€&quot;_-;\-* #,##0.00000\ &quot;€&quot;_-;_-* &quot;-&quot;?????\ &quot;€&quot;_-;_-@_-"/>
  </numFmts>
  <fonts count="7" x14ac:knownFonts="1">
    <font>
      <sz val="10"/>
      <name val="Tahoma"/>
      <family val="2"/>
    </font>
    <font>
      <sz val="10"/>
      <name val="Tahoma"/>
      <family val="2"/>
    </font>
    <font>
      <b/>
      <sz val="9"/>
      <name val="Arial"/>
      <family val="2"/>
    </font>
    <font>
      <sz val="9"/>
      <name val="Tahoma"/>
      <family val="2"/>
    </font>
    <font>
      <b/>
      <sz val="9"/>
      <name val="Tahoma"/>
      <family val="2"/>
    </font>
    <font>
      <i/>
      <sz val="9"/>
      <color rgb="FFFF0000"/>
      <name val="Tahoma"/>
      <family val="2"/>
    </font>
    <font>
      <sz val="8"/>
      <name val="Tahoma"/>
      <family val="2"/>
    </font>
  </fonts>
  <fills count="8">
    <fill>
      <patternFill patternType="none"/>
    </fill>
    <fill>
      <patternFill patternType="gray125"/>
    </fill>
    <fill>
      <patternFill patternType="solid">
        <fgColor theme="0"/>
        <bgColor indexed="64"/>
      </patternFill>
    </fill>
    <fill>
      <patternFill patternType="solid">
        <fgColor theme="8"/>
        <bgColor indexed="64"/>
      </patternFill>
    </fill>
    <fill>
      <patternFill patternType="solid">
        <fgColor theme="9"/>
        <bgColor indexed="64"/>
      </patternFill>
    </fill>
    <fill>
      <patternFill patternType="solid">
        <fgColor theme="5"/>
        <bgColor indexed="64"/>
      </patternFill>
    </fill>
    <fill>
      <patternFill patternType="solid">
        <fgColor theme="9" tint="0.59999389629810485"/>
        <bgColor indexed="64"/>
      </patternFill>
    </fill>
    <fill>
      <patternFill patternType="solid">
        <fgColor theme="9" tint="0.7999816888943144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164" fontId="1" fillId="0" borderId="0" applyFont="0" applyFill="0" applyBorder="0" applyAlignment="0" applyProtection="0"/>
  </cellStyleXfs>
  <cellXfs count="71">
    <xf numFmtId="0" fontId="0" fillId="0" borderId="0" xfId="0"/>
    <xf numFmtId="0" fontId="2" fillId="0" borderId="0" xfId="0" applyFont="1" applyAlignment="1">
      <alignment vertical="center"/>
    </xf>
    <xf numFmtId="0" fontId="2" fillId="0" borderId="0" xfId="0" applyFont="1" applyAlignment="1">
      <alignment horizontal="left" vertical="center"/>
    </xf>
    <xf numFmtId="0" fontId="2" fillId="0" borderId="0" xfId="0" applyFont="1" applyAlignment="1">
      <alignment horizontal="center" vertical="center"/>
    </xf>
    <xf numFmtId="44" fontId="2" fillId="0" borderId="0" xfId="0" applyNumberFormat="1" applyFont="1" applyAlignment="1">
      <alignment horizontal="center" vertical="center"/>
    </xf>
    <xf numFmtId="164" fontId="2" fillId="0" borderId="0" xfId="0" applyNumberFormat="1" applyFont="1" applyAlignment="1">
      <alignment horizontal="center" vertical="center"/>
    </xf>
    <xf numFmtId="44" fontId="2" fillId="0" borderId="0" xfId="0" applyNumberFormat="1" applyFont="1" applyAlignment="1">
      <alignment horizontal="left" vertical="center"/>
    </xf>
    <xf numFmtId="0" fontId="3" fillId="0" borderId="0" xfId="0" applyFont="1" applyAlignment="1">
      <alignment vertical="center"/>
    </xf>
    <xf numFmtId="165" fontId="3" fillId="0" borderId="0" xfId="0" applyNumberFormat="1" applyFont="1" applyAlignment="1">
      <alignment vertical="center"/>
    </xf>
    <xf numFmtId="0" fontId="0" fillId="2" borderId="0" xfId="0" applyFill="1" applyAlignment="1">
      <alignment horizontal="center" vertical="center"/>
    </xf>
    <xf numFmtId="0" fontId="0" fillId="2" borderId="0" xfId="0" applyFill="1"/>
    <xf numFmtId="0" fontId="2" fillId="0" borderId="1" xfId="0" applyFont="1" applyBorder="1" applyAlignment="1">
      <alignment vertical="center"/>
    </xf>
    <xf numFmtId="166" fontId="2" fillId="0" borderId="1" xfId="0" applyNumberFormat="1" applyFont="1" applyBorder="1" applyAlignment="1">
      <alignment horizontal="left" vertical="center"/>
    </xf>
    <xf numFmtId="0" fontId="0" fillId="0" borderId="0" xfId="0" applyAlignment="1">
      <alignment vertical="center"/>
    </xf>
    <xf numFmtId="165" fontId="0" fillId="0" borderId="0" xfId="0" applyNumberFormat="1" applyAlignment="1">
      <alignment vertical="center"/>
    </xf>
    <xf numFmtId="0" fontId="2" fillId="4" borderId="1" xfId="0" applyFont="1" applyFill="1" applyBorder="1" applyAlignment="1">
      <alignment horizontal="center" vertical="center"/>
    </xf>
    <xf numFmtId="164" fontId="2" fillId="1" borderId="1" xfId="1" applyFont="1" applyFill="1" applyBorder="1" applyAlignment="1">
      <alignment horizontal="center" vertical="center"/>
    </xf>
    <xf numFmtId="165" fontId="2" fillId="1" borderId="1" xfId="1" applyNumberFormat="1" applyFont="1" applyFill="1" applyBorder="1" applyAlignment="1">
      <alignment horizontal="center" vertical="center"/>
    </xf>
    <xf numFmtId="10" fontId="2" fillId="4" borderId="1" xfId="0" applyNumberFormat="1" applyFont="1" applyFill="1" applyBorder="1" applyAlignment="1">
      <alignment horizontal="center" vertical="center"/>
    </xf>
    <xf numFmtId="0" fontId="2" fillId="5" borderId="1" xfId="0" applyFont="1" applyFill="1" applyBorder="1" applyAlignment="1">
      <alignment vertical="center"/>
    </xf>
    <xf numFmtId="0" fontId="2" fillId="5" borderId="1" xfId="0" applyFont="1" applyFill="1" applyBorder="1" applyAlignment="1">
      <alignment horizontal="left" vertical="center"/>
    </xf>
    <xf numFmtId="0" fontId="2" fillId="5" borderId="1" xfId="0" applyFont="1" applyFill="1" applyBorder="1" applyAlignment="1">
      <alignment horizontal="center" vertical="center"/>
    </xf>
    <xf numFmtId="44" fontId="2" fillId="5" borderId="1" xfId="0" applyNumberFormat="1" applyFont="1" applyFill="1" applyBorder="1" applyAlignment="1">
      <alignment horizontal="center" vertical="center"/>
    </xf>
    <xf numFmtId="164" fontId="2" fillId="5" borderId="1" xfId="0" applyNumberFormat="1" applyFont="1" applyFill="1" applyBorder="1" applyAlignment="1">
      <alignment horizontal="center" vertical="center"/>
    </xf>
    <xf numFmtId="165" fontId="2" fillId="5" borderId="1" xfId="0" applyNumberFormat="1" applyFont="1" applyFill="1" applyBorder="1" applyAlignment="1">
      <alignment horizontal="left" vertical="center"/>
    </xf>
    <xf numFmtId="165" fontId="4" fillId="5" borderId="1" xfId="0" applyNumberFormat="1" applyFont="1" applyFill="1" applyBorder="1" applyAlignment="1">
      <alignment vertical="center"/>
    </xf>
    <xf numFmtId="0" fontId="3" fillId="7" borderId="1" xfId="0" applyFont="1" applyFill="1" applyBorder="1" applyAlignment="1">
      <alignment horizontal="left" vertical="center"/>
    </xf>
    <xf numFmtId="0" fontId="3" fillId="7" borderId="1" xfId="0" applyFont="1" applyFill="1" applyBorder="1" applyAlignment="1">
      <alignment horizontal="center" vertical="center"/>
    </xf>
    <xf numFmtId="44" fontId="3" fillId="7" borderId="1" xfId="0" applyNumberFormat="1" applyFont="1" applyFill="1" applyBorder="1" applyAlignment="1">
      <alignment horizontal="left" vertical="center"/>
    </xf>
    <xf numFmtId="164" fontId="3" fillId="7" borderId="1" xfId="0" applyNumberFormat="1" applyFont="1" applyFill="1" applyBorder="1" applyAlignment="1">
      <alignment vertical="center"/>
    </xf>
    <xf numFmtId="165" fontId="3" fillId="7" borderId="1" xfId="0" applyNumberFormat="1" applyFont="1" applyFill="1" applyBorder="1" applyAlignment="1">
      <alignment vertical="center"/>
    </xf>
    <xf numFmtId="0" fontId="3" fillId="0" borderId="0" xfId="0" applyFont="1" applyAlignment="1">
      <alignment horizontal="left" vertical="center"/>
    </xf>
    <xf numFmtId="0" fontId="3" fillId="0" borderId="0" xfId="0" applyFont="1" applyAlignment="1">
      <alignment horizontal="center" vertical="center"/>
    </xf>
    <xf numFmtId="44" fontId="3" fillId="0" borderId="0" xfId="0" applyNumberFormat="1" applyFont="1" applyAlignment="1">
      <alignment horizontal="center" vertical="center"/>
    </xf>
    <xf numFmtId="164" fontId="3" fillId="0" borderId="0" xfId="0" applyNumberFormat="1" applyFont="1" applyAlignment="1">
      <alignment horizontal="center" vertical="center"/>
    </xf>
    <xf numFmtId="44" fontId="3" fillId="0" borderId="0" xfId="0" applyNumberFormat="1" applyFont="1" applyAlignment="1">
      <alignment horizontal="left" vertical="center"/>
    </xf>
    <xf numFmtId="0" fontId="3" fillId="6" borderId="1" xfId="0" applyFont="1" applyFill="1" applyBorder="1" applyAlignment="1">
      <alignment vertical="center"/>
    </xf>
    <xf numFmtId="44" fontId="3" fillId="7" borderId="1" xfId="0" applyNumberFormat="1" applyFont="1" applyFill="1" applyBorder="1" applyAlignment="1">
      <alignment horizontal="center" vertical="center"/>
    </xf>
    <xf numFmtId="164" fontId="3" fillId="7" borderId="1" xfId="0" applyNumberFormat="1" applyFont="1" applyFill="1" applyBorder="1" applyAlignment="1">
      <alignment horizontal="center" vertical="center"/>
    </xf>
    <xf numFmtId="44" fontId="5" fillId="0" borderId="1" xfId="0" applyNumberFormat="1" applyFont="1" applyBorder="1" applyAlignment="1">
      <alignment horizontal="left" vertical="center"/>
    </xf>
    <xf numFmtId="44" fontId="5" fillId="0" borderId="0" xfId="0" applyNumberFormat="1" applyFont="1" applyAlignment="1">
      <alignment horizontal="left" vertical="center"/>
    </xf>
    <xf numFmtId="44" fontId="5" fillId="0" borderId="2" xfId="0" applyNumberFormat="1" applyFont="1" applyBorder="1" applyAlignment="1">
      <alignment horizontal="left" vertical="center"/>
    </xf>
    <xf numFmtId="44" fontId="5" fillId="0" borderId="4" xfId="0" applyNumberFormat="1" applyFont="1" applyBorder="1" applyAlignment="1">
      <alignment horizontal="left" vertical="center"/>
    </xf>
    <xf numFmtId="44" fontId="5" fillId="0" borderId="3" xfId="0" applyNumberFormat="1" applyFont="1" applyBorder="1" applyAlignment="1">
      <alignment horizontal="left" vertical="center"/>
    </xf>
    <xf numFmtId="0" fontId="2" fillId="4" borderId="5" xfId="0" applyFont="1" applyFill="1" applyBorder="1" applyAlignment="1">
      <alignment horizontal="center" vertical="center"/>
    </xf>
    <xf numFmtId="44" fontId="2" fillId="0" borderId="1" xfId="0" applyNumberFormat="1" applyFont="1" applyBorder="1" applyAlignment="1">
      <alignment horizontal="left" vertical="center"/>
    </xf>
    <xf numFmtId="0" fontId="2" fillId="3" borderId="2" xfId="0" applyFont="1"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2" fillId="3" borderId="2" xfId="0" applyFont="1" applyFill="1" applyBorder="1" applyAlignment="1">
      <alignment vertical="center"/>
    </xf>
    <xf numFmtId="0" fontId="0" fillId="3" borderId="3" xfId="0" applyFill="1" applyBorder="1" applyAlignment="1">
      <alignment vertical="center"/>
    </xf>
    <xf numFmtId="0" fontId="0" fillId="3" borderId="4" xfId="0" applyFill="1" applyBorder="1" applyAlignment="1">
      <alignment vertical="center"/>
    </xf>
    <xf numFmtId="0" fontId="3" fillId="6" borderId="2" xfId="0" applyFont="1" applyFill="1" applyBorder="1" applyAlignment="1">
      <alignment vertical="center"/>
    </xf>
    <xf numFmtId="0" fontId="0" fillId="6" borderId="4" xfId="0" applyFill="1" applyBorder="1" applyAlignment="1">
      <alignment vertical="center"/>
    </xf>
    <xf numFmtId="0" fontId="3" fillId="7" borderId="2" xfId="0" applyFont="1" applyFill="1" applyBorder="1" applyAlignment="1">
      <alignment horizontal="left" vertical="center"/>
    </xf>
    <xf numFmtId="0" fontId="0" fillId="0" borderId="4" xfId="0" applyBorder="1" applyAlignment="1">
      <alignment horizontal="left" vertical="center"/>
    </xf>
    <xf numFmtId="0" fontId="3" fillId="7" borderId="2" xfId="0" applyFont="1" applyFill="1" applyBorder="1" applyAlignment="1">
      <alignment horizontal="center" vertical="center"/>
    </xf>
    <xf numFmtId="0" fontId="0" fillId="0" borderId="4" xfId="0" applyBorder="1" applyAlignment="1">
      <alignment horizontal="center" vertical="center"/>
    </xf>
    <xf numFmtId="44" fontId="3" fillId="7" borderId="2" xfId="0" applyNumberFormat="1" applyFont="1" applyFill="1" applyBorder="1" applyAlignment="1">
      <alignment horizontal="center" vertical="center"/>
    </xf>
    <xf numFmtId="164" fontId="3" fillId="7" borderId="2" xfId="0" applyNumberFormat="1" applyFont="1" applyFill="1" applyBorder="1" applyAlignment="1">
      <alignment horizontal="center" vertical="center"/>
    </xf>
    <xf numFmtId="44" fontId="2" fillId="3" borderId="2" xfId="0" applyNumberFormat="1" applyFont="1" applyFill="1" applyBorder="1" applyAlignment="1">
      <alignment horizontal="center" vertical="center"/>
    </xf>
    <xf numFmtId="164" fontId="2" fillId="3" borderId="2" xfId="0" applyNumberFormat="1" applyFont="1" applyFill="1" applyBorder="1" applyAlignment="1">
      <alignment horizontal="center" vertical="center" wrapText="1"/>
    </xf>
    <xf numFmtId="164" fontId="0" fillId="3" borderId="3" xfId="0" applyNumberFormat="1" applyFill="1" applyBorder="1" applyAlignment="1">
      <alignment horizontal="center" vertical="center" wrapText="1"/>
    </xf>
    <xf numFmtId="164" fontId="0" fillId="3" borderId="4" xfId="0" applyNumberFormat="1" applyFill="1" applyBorder="1" applyAlignment="1">
      <alignment horizontal="center" vertical="center" wrapText="1"/>
    </xf>
    <xf numFmtId="0" fontId="2" fillId="4" borderId="5" xfId="0" applyFont="1" applyFill="1" applyBorder="1" applyAlignment="1">
      <alignment horizontal="center" vertical="center"/>
    </xf>
    <xf numFmtId="0" fontId="0" fillId="0" borderId="6" xfId="0" applyBorder="1" applyAlignment="1">
      <alignment horizontal="center" vertical="center"/>
    </xf>
    <xf numFmtId="0" fontId="2" fillId="3" borderId="2" xfId="0" applyFont="1" applyFill="1" applyBorder="1" applyAlignment="1">
      <alignment vertical="center" wrapText="1"/>
    </xf>
    <xf numFmtId="0" fontId="2" fillId="3" borderId="3" xfId="0" applyFont="1" applyFill="1" applyBorder="1" applyAlignment="1">
      <alignment vertical="center" wrapText="1"/>
    </xf>
    <xf numFmtId="0" fontId="2" fillId="3" borderId="4" xfId="0" applyFont="1" applyFill="1" applyBorder="1" applyAlignment="1">
      <alignment vertical="center" wrapText="1"/>
    </xf>
    <xf numFmtId="0" fontId="2" fillId="3" borderId="3" xfId="0" applyFont="1" applyFill="1" applyBorder="1" applyAlignment="1">
      <alignment horizontal="center" vertical="center"/>
    </xf>
    <xf numFmtId="0" fontId="2" fillId="3" borderId="4" xfId="0" applyFont="1" applyFill="1" applyBorder="1" applyAlignment="1">
      <alignment horizontal="center" vertical="center"/>
    </xf>
  </cellXfs>
  <cellStyles count="2">
    <cellStyle name="Milliers"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B2E5B-FF8B-4157-B467-4C52315A1488}">
  <sheetPr>
    <pageSetUpPr fitToPage="1"/>
  </sheetPr>
  <dimension ref="A1:EY14"/>
  <sheetViews>
    <sheetView zoomScale="90" zoomScaleNormal="90" workbookViewId="0">
      <pane xSplit="1" ySplit="6" topLeftCell="B7" activePane="bottomRight" state="frozen"/>
      <selection pane="topRight" activeCell="B1" sqref="B1"/>
      <selection pane="bottomLeft" activeCell="A7" sqref="A7"/>
      <selection pane="bottomRight" activeCell="O9" sqref="O9"/>
    </sheetView>
  </sheetViews>
  <sheetFormatPr baseColWidth="10" defaultColWidth="11.7109375" defaultRowHeight="12.75" x14ac:dyDescent="0.2"/>
  <cols>
    <col min="1" max="1" width="12.85546875" style="7" customWidth="1"/>
    <col min="2" max="2" width="18.7109375" style="31" bestFit="1" customWidth="1"/>
    <col min="3" max="3" width="7.140625" style="31" bestFit="1" customWidth="1"/>
    <col min="4" max="4" width="8" style="32" bestFit="1" customWidth="1"/>
    <col min="5" max="5" width="7.7109375" style="32" bestFit="1" customWidth="1"/>
    <col min="6" max="6" width="4" style="32" bestFit="1" customWidth="1"/>
    <col min="7" max="7" width="3.7109375" style="32" bestFit="1" customWidth="1"/>
    <col min="8" max="8" width="4" style="32" customWidth="1"/>
    <col min="9" max="9" width="9.28515625" style="33" bestFit="1" customWidth="1"/>
    <col min="10" max="10" width="8.28515625" style="33" bestFit="1" customWidth="1"/>
    <col min="11" max="11" width="10" style="34" customWidth="1"/>
    <col min="12" max="12" width="12.42578125" style="35" bestFit="1" customWidth="1"/>
    <col min="13" max="14" width="9.28515625" style="35" bestFit="1" customWidth="1"/>
    <col min="15" max="15" width="12.140625" style="35" bestFit="1" customWidth="1"/>
    <col min="16" max="16" width="10.42578125" style="35" bestFit="1" customWidth="1"/>
    <col min="17" max="17" width="9.28515625" style="35" bestFit="1" customWidth="1"/>
    <col min="18" max="18" width="11" style="35" bestFit="1" customWidth="1"/>
    <col min="19" max="19" width="10.5703125" style="35" bestFit="1" customWidth="1"/>
    <col min="20" max="20" width="11.140625" style="35" bestFit="1" customWidth="1"/>
    <col min="21" max="21" width="10.85546875" style="35" bestFit="1" customWidth="1"/>
    <col min="22" max="22" width="13.7109375" style="35" bestFit="1" customWidth="1"/>
    <col min="23" max="23" width="9.85546875" style="35" bestFit="1" customWidth="1"/>
    <col min="24" max="24" width="9.7109375" style="35" bestFit="1" customWidth="1"/>
    <col min="25" max="25" width="14.42578125" style="35" bestFit="1" customWidth="1"/>
    <col min="26" max="26" width="9.85546875" style="35" customWidth="1"/>
    <col min="27" max="27" width="11.85546875" style="7" bestFit="1" customWidth="1"/>
    <col min="28" max="28" width="10.42578125" style="8" bestFit="1" customWidth="1"/>
    <col min="29" max="29" width="25" style="9" customWidth="1"/>
    <col min="30" max="31" width="14" style="10" bestFit="1" customWidth="1"/>
    <col min="32" max="155" width="11.7109375" style="10"/>
  </cols>
  <sheetData>
    <row r="1" spans="1:29" x14ac:dyDescent="0.2">
      <c r="A1" s="1" t="s">
        <v>31</v>
      </c>
      <c r="B1" s="2"/>
      <c r="C1" s="2"/>
      <c r="D1" s="3"/>
      <c r="E1" s="3"/>
      <c r="F1" s="3"/>
      <c r="G1" s="3"/>
      <c r="H1" s="3"/>
      <c r="I1" s="4"/>
      <c r="J1" s="4"/>
      <c r="K1" s="5"/>
      <c r="L1" s="6"/>
      <c r="M1" s="6"/>
      <c r="N1" s="6"/>
      <c r="O1" s="6"/>
      <c r="P1" s="6"/>
      <c r="Q1" s="6"/>
      <c r="R1" s="6"/>
      <c r="S1" s="6"/>
      <c r="T1" s="6"/>
      <c r="U1" s="6"/>
      <c r="V1" s="6"/>
      <c r="W1" s="6"/>
      <c r="X1" s="6"/>
      <c r="Y1" s="6"/>
      <c r="Z1" s="6"/>
    </row>
    <row r="2" spans="1:29" x14ac:dyDescent="0.2">
      <c r="A2" s="1"/>
      <c r="B2" s="2"/>
      <c r="C2" s="2"/>
      <c r="D2" s="3"/>
      <c r="E2" s="3"/>
      <c r="F2" s="3"/>
      <c r="G2" s="3"/>
      <c r="H2" s="3"/>
      <c r="I2" s="4"/>
      <c r="J2" s="4"/>
      <c r="K2" s="5"/>
      <c r="L2" s="6"/>
      <c r="M2" s="6"/>
      <c r="N2" s="6"/>
      <c r="O2" s="6"/>
      <c r="P2" s="6"/>
      <c r="Q2" s="6"/>
      <c r="R2" s="6"/>
      <c r="S2" s="6"/>
      <c r="T2" s="6"/>
      <c r="U2" s="6"/>
      <c r="V2" s="6"/>
      <c r="W2" s="6"/>
      <c r="X2" s="6"/>
      <c r="Y2" s="6"/>
      <c r="Z2" s="6"/>
    </row>
    <row r="3" spans="1:29" x14ac:dyDescent="0.2">
      <c r="A3" s="11" t="s">
        <v>0</v>
      </c>
      <c r="B3" s="12">
        <v>4.9227699999999999</v>
      </c>
      <c r="C3" s="2"/>
      <c r="D3" s="3"/>
      <c r="E3" s="3"/>
      <c r="F3" s="3"/>
      <c r="G3" s="3"/>
      <c r="H3" s="3"/>
      <c r="I3" s="4"/>
      <c r="J3" s="4"/>
      <c r="K3" s="5"/>
      <c r="L3" s="6"/>
      <c r="M3" s="6"/>
      <c r="N3" s="6"/>
      <c r="O3" s="6"/>
      <c r="P3" s="6"/>
      <c r="Q3" s="6"/>
      <c r="R3" s="6"/>
      <c r="S3" s="6"/>
      <c r="T3" s="6"/>
      <c r="U3" s="6"/>
      <c r="V3" s="6"/>
      <c r="W3" s="6"/>
      <c r="X3" s="6"/>
      <c r="Y3" s="6"/>
      <c r="Z3" s="6"/>
      <c r="AA3" s="13"/>
      <c r="AB3" s="14"/>
    </row>
    <row r="4" spans="1:29" x14ac:dyDescent="0.2">
      <c r="A4" s="49" t="s">
        <v>1</v>
      </c>
      <c r="B4" s="46" t="s">
        <v>2</v>
      </c>
      <c r="C4" s="46" t="s">
        <v>3</v>
      </c>
      <c r="D4" s="46" t="s">
        <v>4</v>
      </c>
      <c r="E4" s="46" t="s">
        <v>5</v>
      </c>
      <c r="F4" s="46" t="s">
        <v>6</v>
      </c>
      <c r="G4" s="46" t="s">
        <v>7</v>
      </c>
      <c r="H4" s="46" t="s">
        <v>8</v>
      </c>
      <c r="I4" s="60" t="s">
        <v>9</v>
      </c>
      <c r="J4" s="60" t="s">
        <v>10</v>
      </c>
      <c r="K4" s="61" t="s">
        <v>11</v>
      </c>
      <c r="L4" s="15">
        <v>64111</v>
      </c>
      <c r="M4" s="15">
        <v>64112</v>
      </c>
      <c r="N4" s="15">
        <v>64113</v>
      </c>
      <c r="O4" s="15">
        <v>64118</v>
      </c>
      <c r="P4" s="15">
        <v>6331</v>
      </c>
      <c r="Q4" s="15">
        <v>6332</v>
      </c>
      <c r="R4" s="15">
        <v>6336</v>
      </c>
      <c r="S4" s="15">
        <v>6338</v>
      </c>
      <c r="T4" s="15">
        <v>6451</v>
      </c>
      <c r="U4" s="15">
        <v>6453</v>
      </c>
      <c r="V4" s="15">
        <v>6453</v>
      </c>
      <c r="W4" s="15">
        <v>6458</v>
      </c>
      <c r="X4" s="15">
        <v>6475</v>
      </c>
      <c r="Y4" s="15">
        <v>6458</v>
      </c>
      <c r="Z4" s="15">
        <v>6488</v>
      </c>
      <c r="AA4" s="16" t="s">
        <v>12</v>
      </c>
      <c r="AB4" s="17" t="s">
        <v>13</v>
      </c>
    </row>
    <row r="5" spans="1:29" x14ac:dyDescent="0.2">
      <c r="A5" s="50"/>
      <c r="B5" s="47"/>
      <c r="C5" s="47"/>
      <c r="D5" s="47"/>
      <c r="E5" s="47"/>
      <c r="F5" s="47"/>
      <c r="G5" s="47"/>
      <c r="H5" s="47"/>
      <c r="I5" s="47"/>
      <c r="J5" s="47"/>
      <c r="K5" s="62"/>
      <c r="L5" s="15" t="s">
        <v>14</v>
      </c>
      <c r="M5" s="15" t="s">
        <v>8</v>
      </c>
      <c r="N5" s="15" t="s">
        <v>7</v>
      </c>
      <c r="O5" s="15" t="s">
        <v>15</v>
      </c>
      <c r="P5" s="15" t="s">
        <v>16</v>
      </c>
      <c r="Q5" s="15" t="s">
        <v>17</v>
      </c>
      <c r="R5" s="15" t="s">
        <v>18</v>
      </c>
      <c r="S5" s="15" t="s">
        <v>19</v>
      </c>
      <c r="T5" s="15" t="s">
        <v>20</v>
      </c>
      <c r="U5" s="15" t="s">
        <v>21</v>
      </c>
      <c r="V5" s="15" t="s">
        <v>22</v>
      </c>
      <c r="W5" s="15" t="s">
        <v>23</v>
      </c>
      <c r="X5" s="15" t="s">
        <v>24</v>
      </c>
      <c r="Y5" s="15" t="s">
        <v>25</v>
      </c>
      <c r="Z5" s="15" t="s">
        <v>26</v>
      </c>
      <c r="AA5" s="16"/>
      <c r="AB5" s="17"/>
    </row>
    <row r="6" spans="1:29" x14ac:dyDescent="0.2">
      <c r="A6" s="51"/>
      <c r="B6" s="48"/>
      <c r="C6" s="48"/>
      <c r="D6" s="48"/>
      <c r="E6" s="48"/>
      <c r="F6" s="48"/>
      <c r="G6" s="48"/>
      <c r="H6" s="48"/>
      <c r="I6" s="48"/>
      <c r="J6" s="48"/>
      <c r="K6" s="63"/>
      <c r="L6" s="18" t="s">
        <v>27</v>
      </c>
      <c r="M6" s="18" t="s">
        <v>27</v>
      </c>
      <c r="N6" s="18" t="s">
        <v>27</v>
      </c>
      <c r="O6" s="18" t="s">
        <v>28</v>
      </c>
      <c r="P6" s="18">
        <v>8.0000000000000002E-3</v>
      </c>
      <c r="Q6" s="18">
        <v>5.0000000000000001E-3</v>
      </c>
      <c r="R6" s="18">
        <v>2.3E-2</v>
      </c>
      <c r="S6" s="18">
        <v>3.0000000000000001E-3</v>
      </c>
      <c r="T6" s="18">
        <v>0.15129999999999999</v>
      </c>
      <c r="U6" s="18">
        <v>0.34649999999999997</v>
      </c>
      <c r="V6" s="18">
        <v>0.05</v>
      </c>
      <c r="W6" s="18">
        <v>4.0000000000000001E-3</v>
      </c>
      <c r="X6" s="18">
        <v>1.8E-3</v>
      </c>
      <c r="Y6" s="18"/>
      <c r="Z6" s="18"/>
      <c r="AA6" s="16"/>
      <c r="AB6" s="17"/>
    </row>
    <row r="7" spans="1:29" s="10" customFormat="1" x14ac:dyDescent="0.2">
      <c r="A7" s="19" t="s">
        <v>32</v>
      </c>
      <c r="B7" s="20"/>
      <c r="C7" s="20"/>
      <c r="D7" s="21"/>
      <c r="E7" s="21"/>
      <c r="F7" s="21"/>
      <c r="G7" s="21"/>
      <c r="H7" s="21"/>
      <c r="I7" s="22"/>
      <c r="J7" s="22"/>
      <c r="K7" s="23"/>
      <c r="L7" s="24">
        <f t="shared" ref="L7:Z7" si="0">SUM(L8:L9)*1.02</f>
        <v>33742.634687999998</v>
      </c>
      <c r="M7" s="24">
        <f t="shared" si="0"/>
        <v>951.17039999999997</v>
      </c>
      <c r="N7" s="24">
        <f t="shared" si="0"/>
        <v>1506.36762</v>
      </c>
      <c r="O7" s="24">
        <f t="shared" si="0"/>
        <v>9120.1463999999996</v>
      </c>
      <c r="P7" s="24">
        <f t="shared" si="0"/>
        <v>281.99201846400001</v>
      </c>
      <c r="Q7" s="24">
        <f t="shared" si="0"/>
        <v>176.24501153999998</v>
      </c>
      <c r="R7" s="24">
        <f t="shared" si="0"/>
        <v>810.72705308399986</v>
      </c>
      <c r="S7" s="24">
        <f t="shared" si="0"/>
        <v>105.747006924</v>
      </c>
      <c r="T7" s="24">
        <f t="shared" si="0"/>
        <v>5333.1740492004001</v>
      </c>
      <c r="U7" s="24">
        <f t="shared" si="0"/>
        <v>12213.779299721999</v>
      </c>
      <c r="V7" s="24">
        <f t="shared" si="0"/>
        <v>337.42634688000004</v>
      </c>
      <c r="W7" s="24">
        <f t="shared" si="0"/>
        <v>134.97053875200001</v>
      </c>
      <c r="X7" s="24">
        <f t="shared" si="0"/>
        <v>63.448204154399996</v>
      </c>
      <c r="Y7" s="24">
        <f t="shared" si="0"/>
        <v>379.35622145340005</v>
      </c>
      <c r="Z7" s="24">
        <f t="shared" si="0"/>
        <v>204</v>
      </c>
      <c r="AA7" s="25">
        <f>SUM(AA8:AA9)</f>
        <v>64079.592998209999</v>
      </c>
      <c r="AB7" s="25">
        <f>SUM(L7:Z7)</f>
        <v>65361.184858174202</v>
      </c>
      <c r="AC7" s="9"/>
    </row>
    <row r="8" spans="1:29" s="10" customFormat="1" x14ac:dyDescent="0.2">
      <c r="A8" s="52" t="s">
        <v>33</v>
      </c>
      <c r="B8" s="26" t="s">
        <v>34</v>
      </c>
      <c r="C8" s="54" t="s">
        <v>29</v>
      </c>
      <c r="D8" s="56">
        <v>1</v>
      </c>
      <c r="E8" s="27">
        <v>7</v>
      </c>
      <c r="F8" s="27">
        <v>550</v>
      </c>
      <c r="G8" s="56">
        <v>25</v>
      </c>
      <c r="H8" s="56">
        <v>4</v>
      </c>
      <c r="I8" s="58">
        <v>742.74</v>
      </c>
      <c r="J8" s="58">
        <v>25.79</v>
      </c>
      <c r="K8" s="59">
        <v>1</v>
      </c>
      <c r="L8" s="28">
        <f>(F8*B3)*8</f>
        <v>21660.187999999998</v>
      </c>
      <c r="M8" s="28">
        <f>77.71*8</f>
        <v>621.67999999999995</v>
      </c>
      <c r="N8" s="28">
        <f>(G8*B3)*8</f>
        <v>984.55399999999997</v>
      </c>
      <c r="O8" s="28">
        <f>(I8+J8-23.42)*8</f>
        <v>5960.88</v>
      </c>
      <c r="P8" s="28">
        <f>(L8+N8)*P6</f>
        <v>181.15793599999998</v>
      </c>
      <c r="Q8" s="28">
        <f>(L8+N8)*Q6</f>
        <v>113.22371</v>
      </c>
      <c r="R8" s="28">
        <f>(L8+N8)*R6</f>
        <v>520.8290659999999</v>
      </c>
      <c r="S8" s="28">
        <f>(L8+N8)*S6</f>
        <v>67.934225999999995</v>
      </c>
      <c r="T8" s="28">
        <f>(L8+N8)*T6</f>
        <v>3426.1494645999996</v>
      </c>
      <c r="U8" s="28">
        <f>(L8+N8)*U6</f>
        <v>7846.4031029999987</v>
      </c>
      <c r="V8" s="28">
        <f>(L8*20%)*V6</f>
        <v>216.60187999999999</v>
      </c>
      <c r="W8" s="28">
        <f>L8*W6</f>
        <v>86.640751999999992</v>
      </c>
      <c r="X8" s="28">
        <f>(L8+N8)*X6</f>
        <v>40.760535599999997</v>
      </c>
      <c r="Y8" s="28">
        <f>(L8+N8+O8)*1.71%*50%</f>
        <v>244.5780681</v>
      </c>
      <c r="Z8" s="28">
        <v>200</v>
      </c>
      <c r="AA8" s="29">
        <f>SUM(L8:Z8)</f>
        <v>42171.5807413</v>
      </c>
      <c r="AB8" s="30"/>
      <c r="AC8" s="9"/>
    </row>
    <row r="9" spans="1:29" s="10" customFormat="1" x14ac:dyDescent="0.2">
      <c r="A9" s="53"/>
      <c r="B9" s="26" t="s">
        <v>30</v>
      </c>
      <c r="C9" s="55"/>
      <c r="D9" s="57"/>
      <c r="E9" s="27">
        <v>8</v>
      </c>
      <c r="F9" s="27">
        <v>580</v>
      </c>
      <c r="G9" s="57"/>
      <c r="H9" s="57"/>
      <c r="I9" s="57"/>
      <c r="J9" s="57"/>
      <c r="K9" s="57"/>
      <c r="L9" s="28">
        <f>(F9*B3)*4</f>
        <v>11420.8264</v>
      </c>
      <c r="M9" s="28">
        <f>77.71*4</f>
        <v>310.83999999999997</v>
      </c>
      <c r="N9" s="28">
        <f>(G8*B3)*4</f>
        <v>492.27699999999999</v>
      </c>
      <c r="O9" s="28">
        <f>(I8+J8-23.42)*4</f>
        <v>2980.44</v>
      </c>
      <c r="P9" s="28">
        <f>(L9+N9)*P6</f>
        <v>95.304827200000005</v>
      </c>
      <c r="Q9" s="28">
        <f>(L9+N9)*Q6</f>
        <v>59.565517</v>
      </c>
      <c r="R9" s="28">
        <f>(L9+N9)*R6</f>
        <v>274.00137819999998</v>
      </c>
      <c r="S9" s="28">
        <f>(L9+N9)*S6</f>
        <v>35.739310199999998</v>
      </c>
      <c r="T9" s="28">
        <f>(L9+N9)*T6</f>
        <v>1802.4525444199999</v>
      </c>
      <c r="U9" s="28">
        <f>(L9+N9)*U6</f>
        <v>4127.8903280999994</v>
      </c>
      <c r="V9" s="28">
        <f>(L9*20%)*V6</f>
        <v>114.20826400000001</v>
      </c>
      <c r="W9" s="28">
        <f>L9*W6</f>
        <v>45.683305600000004</v>
      </c>
      <c r="X9" s="28">
        <f>(L9+N9)*X6</f>
        <v>21.443586119999999</v>
      </c>
      <c r="Y9" s="28">
        <f>(L9+N9+O9)*1.71%*50%</f>
        <v>127.33979607000001</v>
      </c>
      <c r="Z9" s="28">
        <v>0</v>
      </c>
      <c r="AA9" s="29">
        <f>SUM(L9:Z9)</f>
        <v>21908.012256909999</v>
      </c>
      <c r="AB9" s="30"/>
      <c r="AC9" s="9"/>
    </row>
    <row r="11" spans="1:29" x14ac:dyDescent="0.2">
      <c r="P11" s="39" t="s">
        <v>36</v>
      </c>
      <c r="Q11" s="40"/>
      <c r="R11" s="39" t="s">
        <v>42</v>
      </c>
      <c r="S11" s="41" t="s">
        <v>52</v>
      </c>
      <c r="V11" s="39" t="s">
        <v>36</v>
      </c>
      <c r="W11" s="39" t="s">
        <v>36</v>
      </c>
      <c r="X11" s="39" t="s">
        <v>42</v>
      </c>
      <c r="Y11" s="39" t="s">
        <v>36</v>
      </c>
    </row>
    <row r="12" spans="1:29" x14ac:dyDescent="0.2">
      <c r="P12" s="39" t="s">
        <v>38</v>
      </c>
      <c r="Q12" s="40"/>
      <c r="R12" s="39" t="s">
        <v>43</v>
      </c>
      <c r="S12" s="42" t="s">
        <v>53</v>
      </c>
      <c r="V12" s="39" t="s">
        <v>37</v>
      </c>
      <c r="W12" s="39" t="s">
        <v>39</v>
      </c>
      <c r="X12" s="39" t="s">
        <v>51</v>
      </c>
      <c r="Y12" s="39" t="s">
        <v>40</v>
      </c>
    </row>
    <row r="13" spans="1:29" x14ac:dyDescent="0.2">
      <c r="R13" s="39" t="s">
        <v>44</v>
      </c>
    </row>
    <row r="14" spans="1:29" x14ac:dyDescent="0.2">
      <c r="R14" s="39" t="s">
        <v>45</v>
      </c>
    </row>
  </sheetData>
  <mergeCells count="19">
    <mergeCell ref="I8:I9"/>
    <mergeCell ref="J8:J9"/>
    <mergeCell ref="K8:K9"/>
    <mergeCell ref="G4:G6"/>
    <mergeCell ref="H4:H6"/>
    <mergeCell ref="I4:I6"/>
    <mergeCell ref="J4:J6"/>
    <mergeCell ref="K4:K6"/>
    <mergeCell ref="A8:A9"/>
    <mergeCell ref="C8:C9"/>
    <mergeCell ref="D8:D9"/>
    <mergeCell ref="G8:G9"/>
    <mergeCell ref="H8:H9"/>
    <mergeCell ref="F4:F6"/>
    <mergeCell ref="A4:A6"/>
    <mergeCell ref="B4:B6"/>
    <mergeCell ref="C4:C6"/>
    <mergeCell ref="D4:D6"/>
    <mergeCell ref="E4:E6"/>
  </mergeCells>
  <phoneticPr fontId="6" type="noConversion"/>
  <pageMargins left="0.25" right="0.25" top="0.75" bottom="0.75" header="0.3" footer="0.3"/>
  <pageSetup paperSize="9" scale="2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D8A798-5E89-43C4-9DF6-D6B9EE9FBF71}">
  <sheetPr>
    <pageSetUpPr fitToPage="1"/>
  </sheetPr>
  <dimension ref="A1:EU13"/>
  <sheetViews>
    <sheetView zoomScale="90" zoomScaleNormal="90" workbookViewId="0">
      <pane xSplit="1" ySplit="6" topLeftCell="B7" activePane="bottomRight" state="frozen"/>
      <selection pane="topRight" activeCell="B1" sqref="B1"/>
      <selection pane="bottomLeft" activeCell="A7" sqref="A7"/>
      <selection pane="bottomRight" activeCell="V8" sqref="V8"/>
    </sheetView>
  </sheetViews>
  <sheetFormatPr baseColWidth="10" defaultColWidth="11.7109375" defaultRowHeight="12.75" x14ac:dyDescent="0.2"/>
  <cols>
    <col min="1" max="1" width="12.85546875" style="7" customWidth="1"/>
    <col min="2" max="2" width="31.28515625" style="31" bestFit="1" customWidth="1"/>
    <col min="3" max="3" width="7.140625" style="31" bestFit="1" customWidth="1"/>
    <col min="4" max="4" width="8" style="32" bestFit="1" customWidth="1"/>
    <col min="5" max="5" width="7.7109375" style="32" bestFit="1" customWidth="1"/>
    <col min="6" max="6" width="4" style="32" bestFit="1" customWidth="1"/>
    <col min="7" max="7" width="3.7109375" style="32" bestFit="1" customWidth="1"/>
    <col min="8" max="8" width="4" style="32" customWidth="1"/>
    <col min="9" max="9" width="9.28515625" style="33" bestFit="1" customWidth="1"/>
    <col min="10" max="10" width="8.28515625" style="33" bestFit="1" customWidth="1"/>
    <col min="11" max="11" width="10" style="34" customWidth="1"/>
    <col min="12" max="12" width="12.42578125" style="35" bestFit="1" customWidth="1"/>
    <col min="13" max="13" width="12.140625" style="35" bestFit="1" customWidth="1"/>
    <col min="14" max="15" width="9.28515625" style="35" bestFit="1" customWidth="1"/>
    <col min="16" max="16" width="11" style="35" bestFit="1" customWidth="1"/>
    <col min="17" max="17" width="10.5703125" style="35" bestFit="1" customWidth="1"/>
    <col min="18" max="18" width="11.140625" style="35" bestFit="1" customWidth="1"/>
    <col min="19" max="19" width="11.140625" style="35" customWidth="1"/>
    <col min="20" max="20" width="10.85546875" style="35" bestFit="1" customWidth="1"/>
    <col min="21" max="21" width="9.7109375" style="35" bestFit="1" customWidth="1"/>
    <col min="22" max="22" width="10.7109375" style="35" bestFit="1" customWidth="1"/>
    <col min="23" max="23" width="11.85546875" style="7" bestFit="1" customWidth="1"/>
    <col min="24" max="24" width="10.42578125" style="8" bestFit="1" customWidth="1"/>
    <col min="25" max="25" width="25" style="9" customWidth="1"/>
    <col min="26" max="27" width="14" style="10" bestFit="1" customWidth="1"/>
    <col min="28" max="151" width="11.7109375" style="10"/>
  </cols>
  <sheetData>
    <row r="1" spans="1:25" x14ac:dyDescent="0.2">
      <c r="A1" s="1" t="s">
        <v>31</v>
      </c>
      <c r="B1" s="2"/>
      <c r="C1" s="2"/>
      <c r="D1" s="3"/>
      <c r="E1" s="3"/>
      <c r="F1" s="3"/>
      <c r="G1" s="3"/>
      <c r="H1" s="3"/>
      <c r="I1" s="4"/>
      <c r="J1" s="4"/>
      <c r="K1" s="5"/>
      <c r="L1" s="6"/>
      <c r="M1" s="6"/>
      <c r="N1" s="6"/>
      <c r="O1" s="6"/>
      <c r="P1" s="6"/>
      <c r="Q1" s="6"/>
      <c r="R1" s="6"/>
      <c r="S1" s="6"/>
      <c r="T1" s="6"/>
      <c r="U1" s="6"/>
      <c r="V1" s="6"/>
    </row>
    <row r="2" spans="1:25" x14ac:dyDescent="0.2">
      <c r="A2" s="1"/>
      <c r="B2" s="2"/>
      <c r="C2" s="2"/>
      <c r="D2" s="3"/>
      <c r="E2" s="3"/>
      <c r="F2" s="3"/>
      <c r="G2" s="3"/>
      <c r="H2" s="3"/>
      <c r="I2" s="4"/>
      <c r="J2" s="4"/>
      <c r="K2" s="5"/>
      <c r="L2" s="6"/>
      <c r="M2" s="6"/>
      <c r="N2" s="6"/>
      <c r="O2" s="6"/>
      <c r="P2" s="6"/>
      <c r="Q2" s="6"/>
      <c r="R2" s="6"/>
      <c r="S2" s="6"/>
      <c r="T2" s="6"/>
      <c r="U2" s="6"/>
      <c r="V2" s="6"/>
    </row>
    <row r="3" spans="1:25" x14ac:dyDescent="0.2">
      <c r="A3" s="11" t="s">
        <v>0</v>
      </c>
      <c r="B3" s="12">
        <v>4.9227699999999999</v>
      </c>
      <c r="C3" s="2"/>
      <c r="D3" s="3"/>
      <c r="E3" s="3"/>
      <c r="F3" s="3"/>
      <c r="G3" s="3"/>
      <c r="H3" s="3"/>
      <c r="I3" s="4"/>
      <c r="J3" s="4"/>
      <c r="K3" s="5"/>
      <c r="L3" s="6"/>
      <c r="M3" s="6"/>
      <c r="N3" s="6"/>
      <c r="O3" s="6"/>
      <c r="P3" s="6"/>
      <c r="Q3" s="6"/>
      <c r="R3" s="6"/>
      <c r="S3" s="6"/>
      <c r="T3" s="6"/>
      <c r="U3" s="6"/>
      <c r="V3" s="6"/>
      <c r="W3" s="13"/>
      <c r="X3" s="14"/>
    </row>
    <row r="4" spans="1:25" x14ac:dyDescent="0.2">
      <c r="A4" s="49" t="s">
        <v>1</v>
      </c>
      <c r="B4" s="46" t="s">
        <v>2</v>
      </c>
      <c r="C4" s="46" t="s">
        <v>3</v>
      </c>
      <c r="D4" s="46" t="s">
        <v>4</v>
      </c>
      <c r="E4" s="46" t="s">
        <v>5</v>
      </c>
      <c r="F4" s="46" t="s">
        <v>6</v>
      </c>
      <c r="G4" s="46" t="s">
        <v>7</v>
      </c>
      <c r="H4" s="46" t="s">
        <v>8</v>
      </c>
      <c r="I4" s="60" t="s">
        <v>9</v>
      </c>
      <c r="J4" s="60" t="s">
        <v>10</v>
      </c>
      <c r="K4" s="61" t="s">
        <v>11</v>
      </c>
      <c r="L4" s="15">
        <v>64111</v>
      </c>
      <c r="M4" s="15">
        <v>64118</v>
      </c>
      <c r="N4" s="15">
        <v>6331</v>
      </c>
      <c r="O4" s="15">
        <v>6332</v>
      </c>
      <c r="P4" s="15">
        <v>6336</v>
      </c>
      <c r="Q4" s="15">
        <v>6338</v>
      </c>
      <c r="R4" s="64">
        <v>6451</v>
      </c>
      <c r="S4" s="65"/>
      <c r="T4" s="15">
        <v>6453</v>
      </c>
      <c r="U4" s="15">
        <v>6475</v>
      </c>
      <c r="V4" s="15">
        <v>6458</v>
      </c>
      <c r="W4" s="16" t="s">
        <v>12</v>
      </c>
      <c r="X4" s="17" t="s">
        <v>13</v>
      </c>
    </row>
    <row r="5" spans="1:25" x14ac:dyDescent="0.2">
      <c r="A5" s="50"/>
      <c r="B5" s="47"/>
      <c r="C5" s="47"/>
      <c r="D5" s="47"/>
      <c r="E5" s="47"/>
      <c r="F5" s="47"/>
      <c r="G5" s="47"/>
      <c r="H5" s="47"/>
      <c r="I5" s="47"/>
      <c r="J5" s="47"/>
      <c r="K5" s="62"/>
      <c r="L5" s="15" t="s">
        <v>14</v>
      </c>
      <c r="M5" s="15" t="s">
        <v>15</v>
      </c>
      <c r="N5" s="15" t="s">
        <v>16</v>
      </c>
      <c r="O5" s="15" t="s">
        <v>17</v>
      </c>
      <c r="P5" s="15" t="s">
        <v>18</v>
      </c>
      <c r="Q5" s="15" t="s">
        <v>19</v>
      </c>
      <c r="R5" s="15" t="s">
        <v>20</v>
      </c>
      <c r="S5" s="15" t="s">
        <v>46</v>
      </c>
      <c r="T5" s="15" t="s">
        <v>50</v>
      </c>
      <c r="U5" s="15" t="s">
        <v>24</v>
      </c>
      <c r="V5" s="15" t="s">
        <v>25</v>
      </c>
      <c r="W5" s="16"/>
      <c r="X5" s="17"/>
    </row>
    <row r="6" spans="1:25" x14ac:dyDescent="0.2">
      <c r="A6" s="51"/>
      <c r="B6" s="48"/>
      <c r="C6" s="48"/>
      <c r="D6" s="48"/>
      <c r="E6" s="48"/>
      <c r="F6" s="48"/>
      <c r="G6" s="48"/>
      <c r="H6" s="48"/>
      <c r="I6" s="48"/>
      <c r="J6" s="48"/>
      <c r="K6" s="63"/>
      <c r="L6" s="18" t="s">
        <v>27</v>
      </c>
      <c r="M6" s="18" t="s">
        <v>28</v>
      </c>
      <c r="N6" s="18">
        <v>8.0000000000000002E-3</v>
      </c>
      <c r="O6" s="18">
        <v>5.0000000000000001E-3</v>
      </c>
      <c r="P6" s="18">
        <v>2.3E-2</v>
      </c>
      <c r="Q6" s="18">
        <v>3.0000000000000001E-3</v>
      </c>
      <c r="R6" s="18">
        <v>0.30059999999999998</v>
      </c>
      <c r="S6" s="18">
        <v>0.08</v>
      </c>
      <c r="T6" s="18">
        <v>4.2000000000000003E-2</v>
      </c>
      <c r="U6" s="18">
        <v>1.8E-3</v>
      </c>
      <c r="V6" s="18"/>
      <c r="W6" s="16"/>
      <c r="X6" s="17"/>
    </row>
    <row r="7" spans="1:25" s="10" customFormat="1" x14ac:dyDescent="0.2">
      <c r="A7" s="19" t="s">
        <v>32</v>
      </c>
      <c r="B7" s="20"/>
      <c r="C7" s="20"/>
      <c r="D7" s="21"/>
      <c r="E7" s="21"/>
      <c r="F7" s="21"/>
      <c r="G7" s="21"/>
      <c r="H7" s="21"/>
      <c r="I7" s="22"/>
      <c r="J7" s="22"/>
      <c r="K7" s="23"/>
      <c r="L7" s="24">
        <f t="shared" ref="L7:V7" si="0">SUM(L8:L8)*1.02</f>
        <v>17208.743690879997</v>
      </c>
      <c r="M7" s="24">
        <f t="shared" si="0"/>
        <v>4133.3745600000002</v>
      </c>
      <c r="N7" s="24">
        <f t="shared" si="0"/>
        <v>170.73694600703999</v>
      </c>
      <c r="O7" s="24">
        <f t="shared" si="0"/>
        <v>106.71059125439999</v>
      </c>
      <c r="P7" s="24">
        <f t="shared" si="0"/>
        <v>490.86871977023992</v>
      </c>
      <c r="Q7" s="24">
        <f t="shared" si="0"/>
        <v>64.026354752639989</v>
      </c>
      <c r="R7" s="24">
        <f t="shared" si="0"/>
        <v>6415.4407462145264</v>
      </c>
      <c r="S7" s="24">
        <f t="shared" si="0"/>
        <v>14.598008883601917</v>
      </c>
      <c r="T7" s="24">
        <f t="shared" si="0"/>
        <v>896.36896653695987</v>
      </c>
      <c r="U7" s="24">
        <f t="shared" si="0"/>
        <v>38.415812851583993</v>
      </c>
      <c r="V7" s="24">
        <f t="shared" si="0"/>
        <v>182.47511104502397</v>
      </c>
      <c r="W7" s="25">
        <f>SUM(W8:W8)</f>
        <v>29138.979909996087</v>
      </c>
      <c r="X7" s="25">
        <f>SUM(L7:V7)</f>
        <v>29721.75950819601</v>
      </c>
      <c r="Y7" s="9"/>
    </row>
    <row r="8" spans="1:25" s="10" customFormat="1" x14ac:dyDescent="0.2">
      <c r="A8" s="36" t="s">
        <v>33</v>
      </c>
      <c r="B8" s="26" t="s">
        <v>35</v>
      </c>
      <c r="C8" s="26" t="s">
        <v>29</v>
      </c>
      <c r="D8" s="27">
        <v>0.7</v>
      </c>
      <c r="E8" s="27">
        <v>6</v>
      </c>
      <c r="F8" s="27">
        <v>408</v>
      </c>
      <c r="G8" s="27">
        <v>0</v>
      </c>
      <c r="H8" s="27">
        <v>1</v>
      </c>
      <c r="I8" s="37">
        <v>467.74</v>
      </c>
      <c r="J8" s="37">
        <v>28.6</v>
      </c>
      <c r="K8" s="38">
        <v>1</v>
      </c>
      <c r="L8" s="28">
        <f>(F8*B3)*D8*12</f>
        <v>16871.317343999996</v>
      </c>
      <c r="M8" s="28">
        <f>(I8+J8-13.92)*D8*12</f>
        <v>4052.3280000000004</v>
      </c>
      <c r="N8" s="28">
        <f>(L8+M8)*N6</f>
        <v>167.38916275199998</v>
      </c>
      <c r="O8" s="28">
        <f>(L8+M8)*O6</f>
        <v>104.61822671999998</v>
      </c>
      <c r="P8" s="28">
        <f>(L8+M8)*P6</f>
        <v>481.24384291199993</v>
      </c>
      <c r="Q8" s="28">
        <f>(L8+M8)*Q6</f>
        <v>62.770936031999994</v>
      </c>
      <c r="R8" s="28">
        <f>(L8+M8)*R6</f>
        <v>6289.6477904063986</v>
      </c>
      <c r="S8" s="28">
        <f>V8*S6</f>
        <v>14.311773415295997</v>
      </c>
      <c r="T8" s="28">
        <f>(L8+M8)*T6</f>
        <v>878.79310444799989</v>
      </c>
      <c r="U8" s="28">
        <f>(L8+M8)*U6</f>
        <v>37.662561619199991</v>
      </c>
      <c r="V8" s="28">
        <f>(L8+M8)*1.71%*50%</f>
        <v>178.89716769119997</v>
      </c>
      <c r="W8" s="29">
        <f>SUM(L8:V8)</f>
        <v>29138.979909996087</v>
      </c>
      <c r="X8" s="30"/>
      <c r="Y8" s="9"/>
    </row>
    <row r="10" spans="1:25" x14ac:dyDescent="0.2">
      <c r="N10" s="39" t="s">
        <v>36</v>
      </c>
      <c r="P10" s="39" t="s">
        <v>42</v>
      </c>
      <c r="Q10" s="41" t="s">
        <v>52</v>
      </c>
      <c r="S10" s="41" t="s">
        <v>47</v>
      </c>
    </row>
    <row r="11" spans="1:25" x14ac:dyDescent="0.2">
      <c r="N11" s="39" t="s">
        <v>41</v>
      </c>
      <c r="P11" s="39" t="s">
        <v>43</v>
      </c>
      <c r="Q11" s="42" t="s">
        <v>53</v>
      </c>
      <c r="S11" s="43" t="s">
        <v>48</v>
      </c>
    </row>
    <row r="12" spans="1:25" x14ac:dyDescent="0.2">
      <c r="P12" s="39" t="s">
        <v>44</v>
      </c>
      <c r="S12" s="42" t="s">
        <v>49</v>
      </c>
    </row>
    <row r="13" spans="1:25" x14ac:dyDescent="0.2">
      <c r="P13" s="39" t="s">
        <v>45</v>
      </c>
    </row>
  </sheetData>
  <mergeCells count="12">
    <mergeCell ref="F4:F6"/>
    <mergeCell ref="R4:S4"/>
    <mergeCell ref="A4:A6"/>
    <mergeCell ref="B4:B6"/>
    <mergeCell ref="C4:C6"/>
    <mergeCell ref="D4:D6"/>
    <mergeCell ref="E4:E6"/>
    <mergeCell ref="G4:G6"/>
    <mergeCell ref="H4:H6"/>
    <mergeCell ref="I4:I6"/>
    <mergeCell ref="J4:J6"/>
    <mergeCell ref="K4:K6"/>
  </mergeCells>
  <pageMargins left="0.25" right="0.25" top="0.75" bottom="0.75" header="0.3" footer="0.3"/>
  <pageSetup paperSize="9" scale="28"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9B73B-04E9-4B07-B5AE-C8B1F52FA953}">
  <sheetPr>
    <pageSetUpPr fitToPage="1"/>
  </sheetPr>
  <dimension ref="A1:EW13"/>
  <sheetViews>
    <sheetView zoomScale="90" zoomScaleNormal="90" workbookViewId="0">
      <pane xSplit="1" ySplit="6" topLeftCell="B7" activePane="bottomRight" state="frozen"/>
      <selection pane="topRight" activeCell="B1" sqref="B1"/>
      <selection pane="bottomLeft" activeCell="A7" sqref="A7"/>
      <selection pane="bottomRight" activeCell="P8" sqref="P8"/>
    </sheetView>
  </sheetViews>
  <sheetFormatPr baseColWidth="10" defaultColWidth="11.7109375" defaultRowHeight="12.75" x14ac:dyDescent="0.2"/>
  <cols>
    <col min="1" max="1" width="12.85546875" style="7" customWidth="1"/>
    <col min="2" max="2" width="31.28515625" style="31" bestFit="1" customWidth="1"/>
    <col min="3" max="3" width="9.7109375" style="31" bestFit="1" customWidth="1"/>
    <col min="4" max="4" width="8" style="32" bestFit="1" customWidth="1"/>
    <col min="5" max="5" width="7.7109375" style="32" bestFit="1" customWidth="1"/>
    <col min="6" max="6" width="4" style="32" bestFit="1" customWidth="1"/>
    <col min="7" max="7" width="3.7109375" style="32" bestFit="1" customWidth="1"/>
    <col min="8" max="8" width="4" style="32" customWidth="1"/>
    <col min="9" max="9" width="9.28515625" style="33" bestFit="1" customWidth="1"/>
    <col min="10" max="10" width="8.28515625" style="33" bestFit="1" customWidth="1"/>
    <col min="11" max="11" width="10" style="34" customWidth="1"/>
    <col min="12" max="12" width="12.42578125" style="35" bestFit="1" customWidth="1"/>
    <col min="13" max="13" width="12.42578125" style="35" customWidth="1"/>
    <col min="14" max="14" width="12.140625" style="35" bestFit="1" customWidth="1"/>
    <col min="15" max="15" width="14.5703125" style="35" bestFit="1" customWidth="1"/>
    <col min="16" max="16" width="9.28515625" style="35" bestFit="1" customWidth="1"/>
    <col min="17" max="17" width="11" style="35" bestFit="1" customWidth="1"/>
    <col min="18" max="18" width="10.5703125" style="35" bestFit="1" customWidth="1"/>
    <col min="19" max="19" width="11.140625" style="35" bestFit="1" customWidth="1"/>
    <col min="20" max="20" width="11.140625" style="35" customWidth="1"/>
    <col min="21" max="21" width="10.85546875" style="35" bestFit="1" customWidth="1"/>
    <col min="22" max="22" width="10.85546875" style="35" customWidth="1"/>
    <col min="23" max="23" width="9.7109375" style="35" bestFit="1" customWidth="1"/>
    <col min="24" max="24" width="10.7109375" style="35" bestFit="1" customWidth="1"/>
    <col min="25" max="25" width="11.85546875" style="7" bestFit="1" customWidth="1"/>
    <col min="26" max="26" width="10.42578125" style="8" bestFit="1" customWidth="1"/>
    <col min="27" max="27" width="25" style="9" customWidth="1"/>
    <col min="28" max="29" width="14" style="10" bestFit="1" customWidth="1"/>
    <col min="30" max="153" width="11.7109375" style="10"/>
  </cols>
  <sheetData>
    <row r="1" spans="1:27" x14ac:dyDescent="0.2">
      <c r="A1" s="1" t="s">
        <v>31</v>
      </c>
      <c r="B1" s="2"/>
      <c r="C1" s="2"/>
      <c r="D1" s="3"/>
      <c r="E1" s="3"/>
      <c r="F1" s="3"/>
      <c r="G1" s="3"/>
      <c r="H1" s="3"/>
      <c r="I1" s="4"/>
      <c r="J1" s="4"/>
      <c r="K1" s="5"/>
      <c r="L1" s="6"/>
      <c r="M1" s="6"/>
      <c r="N1" s="6"/>
      <c r="O1" s="6"/>
      <c r="P1" s="6"/>
      <c r="Q1" s="6"/>
      <c r="R1" s="6"/>
      <c r="S1" s="6"/>
      <c r="T1" s="6"/>
      <c r="U1" s="6"/>
      <c r="V1" s="6"/>
      <c r="W1" s="6"/>
      <c r="X1" s="6"/>
    </row>
    <row r="2" spans="1:27" x14ac:dyDescent="0.2">
      <c r="A2" s="1"/>
      <c r="B2" s="2"/>
      <c r="C2" s="2"/>
      <c r="D2" s="3"/>
      <c r="E2" s="3"/>
      <c r="F2" s="3"/>
      <c r="G2" s="3"/>
      <c r="H2" s="3"/>
      <c r="I2" s="4"/>
      <c r="J2" s="4"/>
      <c r="K2" s="5"/>
      <c r="L2" s="6"/>
      <c r="M2" s="6"/>
      <c r="N2" s="6"/>
      <c r="O2" s="6"/>
      <c r="P2" s="6"/>
      <c r="Q2" s="6"/>
      <c r="R2" s="6"/>
      <c r="S2" s="6"/>
      <c r="T2" s="6"/>
      <c r="U2" s="6"/>
      <c r="V2" s="6"/>
      <c r="W2" s="6"/>
      <c r="X2" s="6"/>
    </row>
    <row r="3" spans="1:27" x14ac:dyDescent="0.2">
      <c r="A3" s="11" t="s">
        <v>0</v>
      </c>
      <c r="B3" s="12">
        <v>4.9227699999999999</v>
      </c>
      <c r="C3" s="2"/>
      <c r="D3" s="3"/>
      <c r="E3" s="3"/>
      <c r="F3" s="3"/>
      <c r="G3" s="3"/>
      <c r="H3" s="3"/>
      <c r="I3" s="4"/>
      <c r="J3" s="4"/>
      <c r="K3" s="5"/>
      <c r="L3" s="6"/>
      <c r="M3" s="6"/>
      <c r="N3" s="6"/>
      <c r="O3" s="6"/>
      <c r="P3" s="6"/>
      <c r="Q3" s="6"/>
      <c r="R3" s="6"/>
      <c r="S3" s="6"/>
      <c r="T3" s="6"/>
      <c r="U3" s="6"/>
      <c r="V3" s="6"/>
      <c r="W3" s="6"/>
      <c r="X3" s="6"/>
      <c r="Y3" s="13"/>
      <c r="Z3" s="14"/>
    </row>
    <row r="4" spans="1:27" x14ac:dyDescent="0.2">
      <c r="A4" s="49" t="s">
        <v>1</v>
      </c>
      <c r="B4" s="46" t="s">
        <v>2</v>
      </c>
      <c r="C4" s="46" t="s">
        <v>3</v>
      </c>
      <c r="D4" s="46" t="s">
        <v>4</v>
      </c>
      <c r="E4" s="46" t="s">
        <v>5</v>
      </c>
      <c r="F4" s="46" t="s">
        <v>6</v>
      </c>
      <c r="G4" s="46" t="s">
        <v>7</v>
      </c>
      <c r="H4" s="46" t="s">
        <v>8</v>
      </c>
      <c r="I4" s="60" t="s">
        <v>9</v>
      </c>
      <c r="J4" s="60" t="s">
        <v>10</v>
      </c>
      <c r="K4" s="61" t="s">
        <v>11</v>
      </c>
      <c r="L4" s="15">
        <v>64131</v>
      </c>
      <c r="M4" s="15">
        <v>64132</v>
      </c>
      <c r="N4" s="15">
        <v>64138</v>
      </c>
      <c r="O4" s="15">
        <v>6331</v>
      </c>
      <c r="P4" s="15">
        <v>6332</v>
      </c>
      <c r="Q4" s="15">
        <v>6336</v>
      </c>
      <c r="R4" s="15">
        <v>6338</v>
      </c>
      <c r="S4" s="64">
        <v>6451</v>
      </c>
      <c r="T4" s="65"/>
      <c r="U4" s="15">
        <v>6453</v>
      </c>
      <c r="V4" s="15">
        <v>6454</v>
      </c>
      <c r="W4" s="15">
        <v>6475</v>
      </c>
      <c r="X4" s="15">
        <v>6458</v>
      </c>
      <c r="Y4" s="16" t="s">
        <v>12</v>
      </c>
      <c r="Z4" s="17" t="s">
        <v>13</v>
      </c>
    </row>
    <row r="5" spans="1:27" x14ac:dyDescent="0.2">
      <c r="A5" s="50"/>
      <c r="B5" s="47"/>
      <c r="C5" s="47"/>
      <c r="D5" s="47"/>
      <c r="E5" s="47"/>
      <c r="F5" s="47"/>
      <c r="G5" s="47"/>
      <c r="H5" s="47"/>
      <c r="I5" s="47"/>
      <c r="J5" s="47"/>
      <c r="K5" s="62"/>
      <c r="L5" s="15" t="s">
        <v>14</v>
      </c>
      <c r="M5" s="15" t="s">
        <v>55</v>
      </c>
      <c r="N5" s="15" t="s">
        <v>15</v>
      </c>
      <c r="O5" s="15" t="s">
        <v>16</v>
      </c>
      <c r="P5" s="15" t="s">
        <v>17</v>
      </c>
      <c r="Q5" s="15" t="s">
        <v>18</v>
      </c>
      <c r="R5" s="15" t="s">
        <v>19</v>
      </c>
      <c r="S5" s="15" t="s">
        <v>57</v>
      </c>
      <c r="T5" s="15" t="s">
        <v>46</v>
      </c>
      <c r="U5" s="15" t="s">
        <v>50</v>
      </c>
      <c r="V5" s="15" t="s">
        <v>63</v>
      </c>
      <c r="W5" s="15" t="s">
        <v>24</v>
      </c>
      <c r="X5" s="15" t="s">
        <v>25</v>
      </c>
      <c r="Y5" s="16"/>
      <c r="Z5" s="17"/>
    </row>
    <row r="6" spans="1:27" x14ac:dyDescent="0.2">
      <c r="A6" s="51"/>
      <c r="B6" s="48"/>
      <c r="C6" s="48"/>
      <c r="D6" s="48"/>
      <c r="E6" s="48"/>
      <c r="F6" s="48"/>
      <c r="G6" s="48"/>
      <c r="H6" s="48"/>
      <c r="I6" s="48"/>
      <c r="J6" s="48"/>
      <c r="K6" s="63"/>
      <c r="L6" s="18" t="s">
        <v>56</v>
      </c>
      <c r="M6" s="18" t="s">
        <v>56</v>
      </c>
      <c r="N6" s="18" t="s">
        <v>56</v>
      </c>
      <c r="O6" s="18">
        <v>8.0000000000000002E-3</v>
      </c>
      <c r="P6" s="18">
        <v>5.0000000000000001E-3</v>
      </c>
      <c r="Q6" s="18">
        <v>2.3E-2</v>
      </c>
      <c r="R6" s="18">
        <v>3.0000000000000001E-3</v>
      </c>
      <c r="S6" s="18">
        <v>0.30059999999999998</v>
      </c>
      <c r="T6" s="18">
        <v>0.08</v>
      </c>
      <c r="U6" s="18">
        <v>4.2000000000000003E-2</v>
      </c>
      <c r="V6" s="18">
        <v>0.04</v>
      </c>
      <c r="W6" s="18">
        <v>1.8E-3</v>
      </c>
      <c r="X6" s="18"/>
      <c r="Y6" s="16"/>
      <c r="Z6" s="17"/>
    </row>
    <row r="7" spans="1:27" s="10" customFormat="1" x14ac:dyDescent="0.2">
      <c r="A7" s="19" t="s">
        <v>32</v>
      </c>
      <c r="B7" s="20"/>
      <c r="C7" s="20"/>
      <c r="D7" s="21"/>
      <c r="E7" s="21"/>
      <c r="F7" s="21"/>
      <c r="G7" s="21"/>
      <c r="H7" s="21"/>
      <c r="I7" s="22"/>
      <c r="J7" s="22"/>
      <c r="K7" s="23"/>
      <c r="L7" s="24">
        <f t="shared" ref="L7:X7" si="0">SUM(L8:L8)*1.02</f>
        <v>23318.570757600002</v>
      </c>
      <c r="M7" s="24">
        <f t="shared" si="0"/>
        <v>951.17039999999997</v>
      </c>
      <c r="N7" s="24">
        <f t="shared" si="0"/>
        <v>5725.1376</v>
      </c>
      <c r="O7" s="24">
        <f t="shared" si="0"/>
        <v>239.95903006080005</v>
      </c>
      <c r="P7" s="24">
        <f t="shared" si="0"/>
        <v>149.97439378800001</v>
      </c>
      <c r="Q7" s="24">
        <f t="shared" si="0"/>
        <v>689.88221142480006</v>
      </c>
      <c r="R7" s="24">
        <f t="shared" si="0"/>
        <v>89.984636272800017</v>
      </c>
      <c r="S7" s="24">
        <f t="shared" si="0"/>
        <v>9016.4605545345603</v>
      </c>
      <c r="T7" s="24">
        <f t="shared" si="0"/>
        <v>19.865896516598404</v>
      </c>
      <c r="U7" s="24">
        <f t="shared" si="0"/>
        <v>1219.8357510192002</v>
      </c>
      <c r="V7" s="24">
        <f t="shared" si="0"/>
        <v>1199.7951503040001</v>
      </c>
      <c r="W7" s="24">
        <f t="shared" si="0"/>
        <v>53.990781763680005</v>
      </c>
      <c r="X7" s="24">
        <f t="shared" si="0"/>
        <v>248.32370645748003</v>
      </c>
      <c r="Y7" s="25">
        <f>SUM(Y8:Y8)</f>
        <v>42081.32438209992</v>
      </c>
      <c r="Z7" s="25">
        <f>SUM(L7:X7)</f>
        <v>42922.950869741915</v>
      </c>
      <c r="AA7" s="9"/>
    </row>
    <row r="8" spans="1:27" s="10" customFormat="1" x14ac:dyDescent="0.2">
      <c r="A8" s="36" t="s">
        <v>33</v>
      </c>
      <c r="B8" s="26"/>
      <c r="C8" s="26" t="s">
        <v>54</v>
      </c>
      <c r="D8" s="27">
        <v>1</v>
      </c>
      <c r="E8" s="27"/>
      <c r="F8" s="27">
        <v>387</v>
      </c>
      <c r="G8" s="27">
        <v>0</v>
      </c>
      <c r="H8" s="27">
        <v>2</v>
      </c>
      <c r="I8" s="37">
        <v>467.74</v>
      </c>
      <c r="J8" s="37">
        <v>0</v>
      </c>
      <c r="K8" s="38">
        <v>1</v>
      </c>
      <c r="L8" s="28">
        <f>(F8*B3)*D8*12</f>
        <v>22861.34388</v>
      </c>
      <c r="M8" s="28">
        <f>77.71*12</f>
        <v>932.52</v>
      </c>
      <c r="N8" s="28">
        <f>I8*D8*12</f>
        <v>5612.88</v>
      </c>
      <c r="O8" s="28">
        <f>(L8+M8+N8)*O6</f>
        <v>235.25395104000003</v>
      </c>
      <c r="P8" s="28">
        <f>(L8+M8+N8)*P6</f>
        <v>147.03371940000002</v>
      </c>
      <c r="Q8" s="28">
        <f>(L8+M8+N8)*Q6</f>
        <v>676.35510924000005</v>
      </c>
      <c r="R8" s="28">
        <f>(L8+M8+N8)*R6</f>
        <v>88.220231640000009</v>
      </c>
      <c r="S8" s="28">
        <f>(L8+M8+N8)*S6</f>
        <v>8839.6672103279998</v>
      </c>
      <c r="T8" s="28">
        <f>X8*T6</f>
        <v>19.476369133920002</v>
      </c>
      <c r="U8" s="28">
        <f>(L8+N8)*U6</f>
        <v>1195.9174029600001</v>
      </c>
      <c r="V8" s="28">
        <f>(L8+M8+N8)*V6</f>
        <v>1176.2697552000002</v>
      </c>
      <c r="W8" s="28">
        <f>(L8+M8+N8)*W6</f>
        <v>52.932138984000005</v>
      </c>
      <c r="X8" s="28">
        <f>(L8+N8)*1.71%*50%</f>
        <v>243.45461417400003</v>
      </c>
      <c r="Y8" s="29">
        <f>SUM(L8:X8)</f>
        <v>42081.32438209992</v>
      </c>
      <c r="Z8" s="30"/>
      <c r="AA8" s="9"/>
    </row>
    <row r="10" spans="1:27" x14ac:dyDescent="0.2">
      <c r="O10" s="39" t="s">
        <v>36</v>
      </c>
      <c r="Q10" s="39" t="s">
        <v>42</v>
      </c>
      <c r="R10" s="41" t="s">
        <v>52</v>
      </c>
      <c r="T10" s="41" t="s">
        <v>47</v>
      </c>
      <c r="U10" s="39" t="s">
        <v>36</v>
      </c>
      <c r="V10" s="40"/>
      <c r="X10" s="39" t="s">
        <v>36</v>
      </c>
    </row>
    <row r="11" spans="1:27" x14ac:dyDescent="0.2">
      <c r="O11" s="39" t="s">
        <v>58</v>
      </c>
      <c r="Q11" s="39" t="s">
        <v>43</v>
      </c>
      <c r="R11" s="42" t="s">
        <v>53</v>
      </c>
      <c r="T11" s="43" t="s">
        <v>48</v>
      </c>
      <c r="U11" s="39" t="s">
        <v>59</v>
      </c>
      <c r="V11" s="40"/>
      <c r="X11" s="39" t="s">
        <v>59</v>
      </c>
    </row>
    <row r="12" spans="1:27" x14ac:dyDescent="0.2">
      <c r="Q12" s="39" t="s">
        <v>44</v>
      </c>
      <c r="T12" s="42" t="s">
        <v>49</v>
      </c>
    </row>
    <row r="13" spans="1:27" x14ac:dyDescent="0.2">
      <c r="Q13" s="39" t="s">
        <v>45</v>
      </c>
    </row>
  </sheetData>
  <mergeCells count="12">
    <mergeCell ref="S4:T4"/>
    <mergeCell ref="A4:A6"/>
    <mergeCell ref="B4:B6"/>
    <mergeCell ref="C4:C6"/>
    <mergeCell ref="D4:D6"/>
    <mergeCell ref="E4:E6"/>
    <mergeCell ref="F4:F6"/>
    <mergeCell ref="G4:G6"/>
    <mergeCell ref="H4:H6"/>
    <mergeCell ref="I4:I6"/>
    <mergeCell ref="J4:J6"/>
    <mergeCell ref="K4:K6"/>
  </mergeCells>
  <pageMargins left="0.25" right="0.25" top="0.75" bottom="0.75" header="0.3" footer="0.3"/>
  <pageSetup paperSize="9" scale="28"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41C0C6-9BB4-471F-BE72-9972DED5BC9E}">
  <sheetPr>
    <pageSetUpPr fitToPage="1"/>
  </sheetPr>
  <dimension ref="A1:EM11"/>
  <sheetViews>
    <sheetView zoomScale="90" zoomScaleNormal="90" workbookViewId="0">
      <pane xSplit="1" ySplit="6" topLeftCell="B7" activePane="bottomRight" state="frozen"/>
      <selection pane="topRight" activeCell="B1" sqref="B1"/>
      <selection pane="bottomLeft" activeCell="A7" sqref="A7"/>
      <selection pane="bottomRight" sqref="A1:P11"/>
    </sheetView>
  </sheetViews>
  <sheetFormatPr baseColWidth="10" defaultColWidth="11.7109375" defaultRowHeight="12.75" x14ac:dyDescent="0.2"/>
  <cols>
    <col min="1" max="1" width="12.85546875" style="7" customWidth="1"/>
    <col min="2" max="2" width="31.28515625" style="31" bestFit="1" customWidth="1"/>
    <col min="3" max="3" width="9.7109375" style="31" bestFit="1" customWidth="1"/>
    <col min="4" max="4" width="8" style="32" bestFit="1" customWidth="1"/>
    <col min="5" max="5" width="7.7109375" style="32" bestFit="1" customWidth="1"/>
    <col min="6" max="6" width="4" style="32" bestFit="1" customWidth="1"/>
    <col min="7" max="7" width="3.7109375" style="32" bestFit="1" customWidth="1"/>
    <col min="8" max="8" width="4" style="32" customWidth="1"/>
    <col min="9" max="9" width="9.28515625" style="33" bestFit="1" customWidth="1"/>
    <col min="10" max="10" width="8.28515625" style="33" bestFit="1" customWidth="1"/>
    <col min="11" max="11" width="10" style="34" customWidth="1"/>
    <col min="12" max="12" width="12.42578125" style="35" bestFit="1" customWidth="1"/>
    <col min="13" max="13" width="17" style="35" bestFit="1" customWidth="1"/>
    <col min="14" max="14" width="10.7109375" style="35" bestFit="1" customWidth="1"/>
    <col min="15" max="15" width="11.85546875" style="7" bestFit="1" customWidth="1"/>
    <col min="16" max="16" width="10.42578125" style="8" bestFit="1" customWidth="1"/>
    <col min="17" max="17" width="25" style="9" customWidth="1"/>
    <col min="18" max="19" width="14" style="10" bestFit="1" customWidth="1"/>
    <col min="20" max="143" width="11.7109375" style="10"/>
  </cols>
  <sheetData>
    <row r="1" spans="1:17" x14ac:dyDescent="0.2">
      <c r="A1" s="1" t="s">
        <v>31</v>
      </c>
      <c r="B1" s="2"/>
      <c r="C1" s="2"/>
      <c r="D1" s="3"/>
      <c r="E1" s="3"/>
      <c r="F1" s="3"/>
      <c r="G1" s="3"/>
      <c r="H1" s="3"/>
      <c r="I1" s="4"/>
      <c r="J1" s="4"/>
      <c r="K1" s="5"/>
      <c r="L1" s="6"/>
      <c r="M1" s="6"/>
      <c r="N1" s="6"/>
    </row>
    <row r="2" spans="1:17" x14ac:dyDescent="0.2">
      <c r="A2" s="1"/>
      <c r="B2" s="2"/>
      <c r="C2" s="2"/>
      <c r="D2" s="3"/>
      <c r="E2" s="3"/>
      <c r="F2" s="3"/>
      <c r="G2" s="3"/>
      <c r="H2" s="3"/>
      <c r="I2" s="4"/>
      <c r="J2" s="4"/>
      <c r="K2" s="5"/>
      <c r="L2" s="6"/>
      <c r="M2" s="6"/>
      <c r="N2" s="6"/>
    </row>
    <row r="3" spans="1:17" x14ac:dyDescent="0.2">
      <c r="A3" s="11" t="s">
        <v>0</v>
      </c>
      <c r="B3" s="12">
        <v>4.9227699999999999</v>
      </c>
      <c r="C3" s="2"/>
      <c r="D3" s="3"/>
      <c r="E3" s="3"/>
      <c r="F3" s="3"/>
      <c r="G3" s="3"/>
      <c r="H3" s="3"/>
      <c r="I3" s="4"/>
      <c r="J3" s="4"/>
      <c r="K3" s="5"/>
      <c r="L3" s="6"/>
      <c r="M3" s="6"/>
      <c r="N3" s="6"/>
      <c r="O3" s="13"/>
      <c r="P3" s="14"/>
    </row>
    <row r="4" spans="1:17" x14ac:dyDescent="0.2">
      <c r="A4" s="49" t="s">
        <v>1</v>
      </c>
      <c r="B4" s="46" t="s">
        <v>2</v>
      </c>
      <c r="C4" s="46" t="s">
        <v>3</v>
      </c>
      <c r="D4" s="46" t="s">
        <v>4</v>
      </c>
      <c r="E4" s="46" t="s">
        <v>5</v>
      </c>
      <c r="F4" s="46" t="s">
        <v>6</v>
      </c>
      <c r="G4" s="46" t="s">
        <v>7</v>
      </c>
      <c r="H4" s="46" t="s">
        <v>8</v>
      </c>
      <c r="I4" s="60" t="s">
        <v>9</v>
      </c>
      <c r="J4" s="60" t="s">
        <v>10</v>
      </c>
      <c r="K4" s="61" t="s">
        <v>11</v>
      </c>
      <c r="L4" s="15">
        <v>6417</v>
      </c>
      <c r="M4" s="44">
        <v>6451</v>
      </c>
      <c r="N4" s="15">
        <v>6458</v>
      </c>
      <c r="O4" s="16" t="s">
        <v>12</v>
      </c>
      <c r="P4" s="17" t="s">
        <v>13</v>
      </c>
    </row>
    <row r="5" spans="1:17" x14ac:dyDescent="0.2">
      <c r="A5" s="50"/>
      <c r="B5" s="47"/>
      <c r="C5" s="47"/>
      <c r="D5" s="47"/>
      <c r="E5" s="47"/>
      <c r="F5" s="47"/>
      <c r="G5" s="47"/>
      <c r="H5" s="47"/>
      <c r="I5" s="47"/>
      <c r="J5" s="47"/>
      <c r="K5" s="62"/>
      <c r="L5" s="15" t="s">
        <v>14</v>
      </c>
      <c r="M5" s="15" t="s">
        <v>62</v>
      </c>
      <c r="N5" s="15" t="s">
        <v>25</v>
      </c>
      <c r="O5" s="16"/>
      <c r="P5" s="17"/>
    </row>
    <row r="6" spans="1:17" x14ac:dyDescent="0.2">
      <c r="A6" s="51"/>
      <c r="B6" s="48"/>
      <c r="C6" s="48"/>
      <c r="D6" s="48"/>
      <c r="E6" s="48"/>
      <c r="F6" s="48"/>
      <c r="G6" s="48"/>
      <c r="H6" s="48"/>
      <c r="I6" s="48"/>
      <c r="J6" s="48"/>
      <c r="K6" s="63"/>
      <c r="L6" s="18" t="s">
        <v>61</v>
      </c>
      <c r="M6" s="18">
        <v>1.72E-2</v>
      </c>
      <c r="N6" s="18"/>
      <c r="O6" s="16"/>
      <c r="P6" s="17"/>
    </row>
    <row r="7" spans="1:17" s="10" customFormat="1" x14ac:dyDescent="0.2">
      <c r="A7" s="19" t="s">
        <v>32</v>
      </c>
      <c r="B7" s="20"/>
      <c r="C7" s="20"/>
      <c r="D7" s="21"/>
      <c r="E7" s="21"/>
      <c r="F7" s="21"/>
      <c r="G7" s="21"/>
      <c r="H7" s="21"/>
      <c r="I7" s="22"/>
      <c r="J7" s="22"/>
      <c r="K7" s="23"/>
      <c r="L7" s="24">
        <f t="shared" ref="L7:N7" si="0">SUM(L8:L8)*1.02</f>
        <v>22054.145415839994</v>
      </c>
      <c r="M7" s="24">
        <f t="shared" si="0"/>
        <v>379.33130115244791</v>
      </c>
      <c r="N7" s="24">
        <f t="shared" si="0"/>
        <v>188.56294330543196</v>
      </c>
      <c r="O7" s="25">
        <f>SUM(O8:O8)</f>
        <v>22178.470255193992</v>
      </c>
      <c r="P7" s="25">
        <f>SUM(L7:N7)</f>
        <v>22622.039660297873</v>
      </c>
      <c r="Q7" s="9"/>
    </row>
    <row r="8" spans="1:17" s="10" customFormat="1" x14ac:dyDescent="0.2">
      <c r="A8" s="36" t="s">
        <v>33</v>
      </c>
      <c r="B8" s="26"/>
      <c r="C8" s="26" t="s">
        <v>60</v>
      </c>
      <c r="D8" s="27">
        <v>1</v>
      </c>
      <c r="E8" s="27"/>
      <c r="F8" s="27"/>
      <c r="G8" s="27"/>
      <c r="H8" s="27"/>
      <c r="I8" s="37"/>
      <c r="J8" s="37">
        <v>0</v>
      </c>
      <c r="K8" s="38">
        <v>1</v>
      </c>
      <c r="L8" s="28">
        <f>(151.67*11.8798)*12</f>
        <v>21621.711191999995</v>
      </c>
      <c r="M8" s="28">
        <f>L8*M6</f>
        <v>371.89343250239989</v>
      </c>
      <c r="N8" s="28">
        <f>(L8*1.71%)*50%</f>
        <v>184.86563069159996</v>
      </c>
      <c r="O8" s="29">
        <f>SUM(L8:N8)</f>
        <v>22178.470255193992</v>
      </c>
      <c r="P8" s="30"/>
      <c r="Q8" s="9"/>
    </row>
    <row r="10" spans="1:17" x14ac:dyDescent="0.2">
      <c r="N10" s="39" t="s">
        <v>36</v>
      </c>
    </row>
    <row r="11" spans="1:17" x14ac:dyDescent="0.2">
      <c r="N11" s="39" t="s">
        <v>59</v>
      </c>
    </row>
  </sheetData>
  <mergeCells count="11">
    <mergeCell ref="A4:A6"/>
    <mergeCell ref="B4:B6"/>
    <mergeCell ref="C4:C6"/>
    <mergeCell ref="D4:D6"/>
    <mergeCell ref="E4:E6"/>
    <mergeCell ref="K4:K6"/>
    <mergeCell ref="F4:F6"/>
    <mergeCell ref="G4:G6"/>
    <mergeCell ref="H4:H6"/>
    <mergeCell ref="I4:I6"/>
    <mergeCell ref="J4:J6"/>
  </mergeCells>
  <pageMargins left="0.25" right="0.25" top="0.75" bottom="0.75" header="0.3" footer="0.3"/>
  <pageSetup paperSize="9" scale="2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522F3-339F-48DD-B8FB-DD0652467E22}">
  <dimension ref="A1:G17"/>
  <sheetViews>
    <sheetView workbookViewId="0">
      <selection activeCell="I30" sqref="I30"/>
    </sheetView>
  </sheetViews>
  <sheetFormatPr baseColWidth="10" defaultRowHeight="12.75" x14ac:dyDescent="0.2"/>
  <cols>
    <col min="1" max="1" width="17" customWidth="1"/>
    <col min="2" max="2" width="10.42578125" bestFit="1" customWidth="1"/>
    <col min="3" max="3" width="19.5703125" bestFit="1" customWidth="1"/>
    <col min="4" max="5" width="23" bestFit="1" customWidth="1"/>
    <col min="6" max="6" width="11.85546875" bestFit="1" customWidth="1"/>
  </cols>
  <sheetData>
    <row r="1" spans="1:7" x14ac:dyDescent="0.2">
      <c r="A1" s="1" t="s">
        <v>31</v>
      </c>
      <c r="B1" s="2"/>
      <c r="C1" s="6"/>
      <c r="D1" s="6"/>
      <c r="E1" s="7"/>
      <c r="F1" s="8"/>
    </row>
    <row r="2" spans="1:7" x14ac:dyDescent="0.2">
      <c r="A2" s="1"/>
      <c r="B2" s="2"/>
      <c r="C2" s="6"/>
      <c r="D2" s="6"/>
      <c r="E2" s="7"/>
      <c r="F2" s="8"/>
    </row>
    <row r="3" spans="1:7" x14ac:dyDescent="0.2">
      <c r="A3" s="11" t="s">
        <v>67</v>
      </c>
      <c r="B3" s="45">
        <v>2433.31</v>
      </c>
      <c r="C3" s="6"/>
      <c r="D3" s="6"/>
      <c r="E3" s="13"/>
      <c r="F3" s="14"/>
    </row>
    <row r="4" spans="1:7" x14ac:dyDescent="0.2">
      <c r="A4" s="66" t="s">
        <v>66</v>
      </c>
      <c r="B4" s="46" t="s">
        <v>3</v>
      </c>
      <c r="C4" s="15">
        <v>65311</v>
      </c>
      <c r="D4" s="44">
        <v>65313</v>
      </c>
      <c r="E4" s="44">
        <v>65313</v>
      </c>
      <c r="F4" s="16" t="s">
        <v>12</v>
      </c>
      <c r="G4" s="17" t="s">
        <v>13</v>
      </c>
    </row>
    <row r="5" spans="1:7" x14ac:dyDescent="0.2">
      <c r="A5" s="67"/>
      <c r="B5" s="69"/>
      <c r="C5" s="15" t="s">
        <v>73</v>
      </c>
      <c r="D5" s="15" t="s">
        <v>68</v>
      </c>
      <c r="E5" s="15" t="s">
        <v>69</v>
      </c>
      <c r="F5" s="16"/>
      <c r="G5" s="17"/>
    </row>
    <row r="6" spans="1:7" x14ac:dyDescent="0.2">
      <c r="A6" s="68"/>
      <c r="B6" s="70"/>
      <c r="C6" s="18"/>
      <c r="D6" s="18">
        <v>4.2000000000000003E-2</v>
      </c>
      <c r="E6" s="18">
        <v>0.1255</v>
      </c>
      <c r="F6" s="16"/>
      <c r="G6" s="17"/>
    </row>
    <row r="7" spans="1:7" x14ac:dyDescent="0.2">
      <c r="A7" s="19"/>
      <c r="B7" s="20"/>
      <c r="C7" s="24">
        <f t="shared" ref="C7:E7" si="0">SUM(C8:C8)*1.02</f>
        <v>29783.714400000001</v>
      </c>
      <c r="D7" s="24">
        <f t="shared" si="0"/>
        <v>884.140488</v>
      </c>
      <c r="E7" s="24">
        <f t="shared" si="0"/>
        <v>1146.6367740000001</v>
      </c>
      <c r="F7" s="25">
        <f>SUM(F8:F8)</f>
        <v>30066.524400000002</v>
      </c>
      <c r="G7" s="25">
        <f>SUM(C7:D7)</f>
        <v>30667.854888000002</v>
      </c>
    </row>
    <row r="8" spans="1:7" x14ac:dyDescent="0.2">
      <c r="A8" s="36" t="s">
        <v>65</v>
      </c>
      <c r="B8" s="26" t="s">
        <v>64</v>
      </c>
      <c r="C8" s="28">
        <f>B3*12</f>
        <v>29199.72</v>
      </c>
      <c r="D8" s="28">
        <f>(1719.85*D6)*12</f>
        <v>866.80439999999999</v>
      </c>
      <c r="E8" s="28">
        <f>(746.45*E6)*12</f>
        <v>1124.1537000000001</v>
      </c>
      <c r="F8" s="29">
        <f>SUM(C8:D8)</f>
        <v>30066.524400000002</v>
      </c>
      <c r="G8" s="30"/>
    </row>
    <row r="9" spans="1:7" x14ac:dyDescent="0.2">
      <c r="A9" s="7"/>
      <c r="B9" s="31"/>
      <c r="C9" s="35"/>
      <c r="D9" s="35"/>
      <c r="E9" s="7"/>
      <c r="F9" s="8"/>
    </row>
    <row r="10" spans="1:7" x14ac:dyDescent="0.2">
      <c r="A10" s="7" t="s">
        <v>76</v>
      </c>
      <c r="B10" s="31"/>
      <c r="C10" s="35"/>
      <c r="D10" s="35"/>
      <c r="E10" s="7"/>
      <c r="F10" s="8"/>
    </row>
    <row r="11" spans="1:7" x14ac:dyDescent="0.2">
      <c r="A11" s="7"/>
      <c r="B11" s="31"/>
      <c r="C11" s="35"/>
      <c r="D11" s="35"/>
      <c r="E11" s="7"/>
      <c r="F11" s="8"/>
    </row>
    <row r="12" spans="1:7" x14ac:dyDescent="0.2">
      <c r="A12" t="s">
        <v>70</v>
      </c>
    </row>
    <row r="13" spans="1:7" x14ac:dyDescent="0.2">
      <c r="A13" s="7" t="s">
        <v>71</v>
      </c>
    </row>
    <row r="17" spans="1:1" x14ac:dyDescent="0.2">
      <c r="A17" s="7"/>
    </row>
  </sheetData>
  <mergeCells count="2">
    <mergeCell ref="A4:A6"/>
    <mergeCell ref="B4:B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47E250-CA7B-4446-A699-BD559CEE418A}">
  <dimension ref="A1:H17"/>
  <sheetViews>
    <sheetView tabSelected="1" workbookViewId="0">
      <selection activeCell="D28" sqref="D28"/>
    </sheetView>
  </sheetViews>
  <sheetFormatPr baseColWidth="10" defaultRowHeight="12.75" x14ac:dyDescent="0.2"/>
  <cols>
    <col min="1" max="1" width="17" customWidth="1"/>
    <col min="2" max="2" width="10.42578125" bestFit="1" customWidth="1"/>
    <col min="3" max="3" width="19.5703125" bestFit="1" customWidth="1"/>
    <col min="4" max="4" width="29.42578125" bestFit="1" customWidth="1"/>
    <col min="5" max="5" width="10.85546875" bestFit="1" customWidth="1"/>
    <col min="6" max="6" width="23" bestFit="1" customWidth="1"/>
    <col min="7" max="7" width="11.85546875" bestFit="1" customWidth="1"/>
  </cols>
  <sheetData>
    <row r="1" spans="1:8" x14ac:dyDescent="0.2">
      <c r="A1" s="1" t="s">
        <v>31</v>
      </c>
      <c r="B1" s="2"/>
      <c r="C1" s="6"/>
      <c r="D1" s="6"/>
      <c r="E1" s="6"/>
      <c r="F1" s="6"/>
      <c r="G1" s="8"/>
    </row>
    <row r="2" spans="1:8" x14ac:dyDescent="0.2">
      <c r="A2" s="1"/>
      <c r="B2" s="2"/>
      <c r="C2" s="6"/>
      <c r="D2" s="6"/>
      <c r="E2" s="6"/>
      <c r="F2" s="6"/>
      <c r="G2" s="8"/>
    </row>
    <row r="3" spans="1:8" x14ac:dyDescent="0.2">
      <c r="A3" s="11" t="s">
        <v>67</v>
      </c>
      <c r="B3" s="45">
        <v>1726.42</v>
      </c>
      <c r="C3" s="6"/>
      <c r="D3" s="6"/>
      <c r="E3" s="6"/>
      <c r="F3" s="6"/>
      <c r="G3" s="14"/>
    </row>
    <row r="4" spans="1:8" x14ac:dyDescent="0.2">
      <c r="A4" s="66" t="s">
        <v>72</v>
      </c>
      <c r="B4" s="46" t="s">
        <v>3</v>
      </c>
      <c r="C4" s="15">
        <v>65311</v>
      </c>
      <c r="D4" s="44">
        <v>633</v>
      </c>
      <c r="E4" s="44">
        <v>65314</v>
      </c>
      <c r="F4" s="44">
        <v>65313</v>
      </c>
      <c r="G4" s="16" t="s">
        <v>12</v>
      </c>
      <c r="H4" s="17" t="s">
        <v>13</v>
      </c>
    </row>
    <row r="5" spans="1:8" x14ac:dyDescent="0.2">
      <c r="A5" s="67"/>
      <c r="B5" s="69"/>
      <c r="C5" s="15" t="s">
        <v>73</v>
      </c>
      <c r="D5" s="15" t="s">
        <v>74</v>
      </c>
      <c r="E5" s="15" t="s">
        <v>52</v>
      </c>
      <c r="F5" s="15" t="s">
        <v>68</v>
      </c>
      <c r="G5" s="16"/>
      <c r="H5" s="17"/>
    </row>
    <row r="6" spans="1:8" x14ac:dyDescent="0.2">
      <c r="A6" s="68"/>
      <c r="B6" s="70"/>
      <c r="C6" s="18"/>
      <c r="D6" s="18">
        <v>0.01</v>
      </c>
      <c r="E6" s="18">
        <v>0.3054</v>
      </c>
      <c r="F6" s="18">
        <v>4.2000000000000003E-2</v>
      </c>
      <c r="G6" s="16"/>
      <c r="H6" s="17"/>
    </row>
    <row r="7" spans="1:8" x14ac:dyDescent="0.2">
      <c r="A7" s="19"/>
      <c r="B7" s="20"/>
      <c r="C7" s="24">
        <f t="shared" ref="C7:F7" si="0">SUM(C8:C8)*1.02</f>
        <v>21131.380800000003</v>
      </c>
      <c r="D7" s="24">
        <f t="shared" si="0"/>
        <v>211.31380799999999</v>
      </c>
      <c r="E7" s="24">
        <f t="shared" si="0"/>
        <v>6453.5236963200005</v>
      </c>
      <c r="F7" s="24">
        <f t="shared" si="0"/>
        <v>887.51799360000018</v>
      </c>
      <c r="G7" s="25">
        <f>SUM(G8:G8)</f>
        <v>28121.310095999997</v>
      </c>
      <c r="H7" s="25">
        <f>SUM(C7:F7)</f>
        <v>28683.736297920001</v>
      </c>
    </row>
    <row r="8" spans="1:8" x14ac:dyDescent="0.2">
      <c r="A8" s="36" t="s">
        <v>65</v>
      </c>
      <c r="B8" s="26" t="s">
        <v>64</v>
      </c>
      <c r="C8" s="28">
        <f>B3*12</f>
        <v>20717.04</v>
      </c>
      <c r="D8" s="28">
        <f>(C8*D6)</f>
        <v>207.1704</v>
      </c>
      <c r="E8" s="28">
        <f>(C8*E6)</f>
        <v>6326.9840160000003</v>
      </c>
      <c r="F8" s="28">
        <f>(C8*F6)</f>
        <v>870.11568000000011</v>
      </c>
      <c r="G8" s="29">
        <f>SUM(C8:F8)</f>
        <v>28121.310095999997</v>
      </c>
      <c r="H8" s="30"/>
    </row>
    <row r="9" spans="1:8" x14ac:dyDescent="0.2">
      <c r="A9" s="7"/>
      <c r="B9" s="31"/>
      <c r="C9" s="35"/>
      <c r="D9" s="35"/>
      <c r="E9" s="35"/>
      <c r="F9" s="35"/>
      <c r="G9" s="8"/>
    </row>
    <row r="10" spans="1:8" x14ac:dyDescent="0.2">
      <c r="A10" s="7" t="s">
        <v>75</v>
      </c>
      <c r="B10" s="31"/>
      <c r="C10" s="35"/>
      <c r="D10" s="35"/>
      <c r="E10" s="35"/>
      <c r="F10" s="35"/>
      <c r="G10" s="8"/>
    </row>
    <row r="11" spans="1:8" x14ac:dyDescent="0.2">
      <c r="A11" s="7" t="s">
        <v>77</v>
      </c>
      <c r="B11" s="31"/>
      <c r="C11" s="35"/>
      <c r="D11" s="35"/>
      <c r="E11" s="35"/>
      <c r="F11" s="35"/>
      <c r="G11" s="8"/>
    </row>
    <row r="12" spans="1:8" x14ac:dyDescent="0.2">
      <c r="A12" s="7" t="s">
        <v>78</v>
      </c>
    </row>
    <row r="13" spans="1:8" x14ac:dyDescent="0.2">
      <c r="A13" s="7"/>
    </row>
    <row r="17" spans="1:1" x14ac:dyDescent="0.2">
      <c r="A17" s="7"/>
    </row>
  </sheetData>
  <mergeCells count="2">
    <mergeCell ref="A4:A6"/>
    <mergeCell ref="B4:B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6</vt:i4>
      </vt:variant>
      <vt:variant>
        <vt:lpstr>Plages nommées</vt:lpstr>
      </vt:variant>
      <vt:variant>
        <vt:i4>4</vt:i4>
      </vt:variant>
    </vt:vector>
  </HeadingPairs>
  <TitlesOfParts>
    <vt:vector size="10" baseType="lpstr">
      <vt:lpstr>TITULAIRE CNRACL</vt:lpstr>
      <vt:lpstr>TITULAIRE IRCANTEC</vt:lpstr>
      <vt:lpstr>CONTRACTUEL</vt:lpstr>
      <vt:lpstr>APPRENTI</vt:lpstr>
      <vt:lpstr>ELU NON ASSUJETTI</vt:lpstr>
      <vt:lpstr>ELU ASSUJETTI</vt:lpstr>
      <vt:lpstr>APPRENTI!Zone_d_impression</vt:lpstr>
      <vt:lpstr>CONTRACTUEL!Zone_d_impression</vt:lpstr>
      <vt:lpstr>'TITULAIRE CNRACL'!Zone_d_impression</vt:lpstr>
      <vt:lpstr>'TITULAIRE IRCANTEC'!Zone_d_impression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Agnès FAUGER - CDG - Maison des Communes de la Vendée</dc:creator>
  <cp:lastModifiedBy>Agnès FAUGER - CDG - Maison des Communes de la Vendée</cp:lastModifiedBy>
  <dcterms:created xsi:type="dcterms:W3CDTF">2025-06-06T08:48:46Z</dcterms:created>
  <dcterms:modified xsi:type="dcterms:W3CDTF">2025-09-18T06:18:23Z</dcterms:modified>
</cp:coreProperties>
</file>